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5" yWindow="-15" windowWidth="14415" windowHeight="15180"/>
  </bookViews>
  <sheets>
    <sheet name="Sheet1" sheetId="1" r:id="rId1"/>
  </sheets>
  <definedNames>
    <definedName name="_xlnm.Print_Area" localSheetId="0">Sheet1!$A$1:$AB$55</definedName>
    <definedName name="_xlnm.Print_Titles" localSheetId="0">Sheet1!$1:$6</definedName>
  </definedNames>
  <calcPr calcId="125725"/>
</workbook>
</file>

<file path=xl/calcChain.xml><?xml version="1.0" encoding="utf-8"?>
<calcChain xmlns="http://schemas.openxmlformats.org/spreadsheetml/2006/main">
  <c r="Q53" i="1"/>
  <c r="U35"/>
  <c r="Q52"/>
  <c r="M35" l="1"/>
  <c r="U21"/>
  <c r="O18"/>
  <c r="Y39" l="1"/>
  <c r="O19" l="1"/>
  <c r="M33" l="1"/>
  <c r="M31"/>
  <c r="U33" l="1"/>
  <c r="M34"/>
  <c r="M41" s="1"/>
  <c r="M30" l="1"/>
  <c r="Y33"/>
  <c r="M44"/>
  <c r="M40"/>
  <c r="X42" s="1"/>
  <c r="M43"/>
  <c r="M42"/>
  <c r="M38"/>
  <c r="M39"/>
  <c r="Q30" l="1"/>
  <c r="Y35"/>
  <c r="T52"/>
  <c r="AA41"/>
  <c r="T47"/>
  <c r="T53"/>
  <c r="Y54"/>
  <c r="Q47"/>
  <c r="M32" s="1"/>
  <c r="R34" s="1"/>
  <c r="Y48" l="1"/>
  <c r="P48" s="1"/>
  <c r="P54"/>
</calcChain>
</file>

<file path=xl/sharedStrings.xml><?xml version="1.0" encoding="utf-8"?>
<sst xmlns="http://schemas.openxmlformats.org/spreadsheetml/2006/main" count="173" uniqueCount="137">
  <si>
    <t>Width</t>
  </si>
  <si>
    <t>No</t>
  </si>
  <si>
    <t>Height</t>
  </si>
  <si>
    <t>mm</t>
  </si>
  <si>
    <t>Strength</t>
  </si>
  <si>
    <t>Modulus</t>
  </si>
  <si>
    <t>Cover</t>
  </si>
  <si>
    <t>Max Strain</t>
  </si>
  <si>
    <t>c =</t>
  </si>
  <si>
    <t>Tension Controlled</t>
  </si>
  <si>
    <t>Nominal Concrete Strength</t>
  </si>
  <si>
    <t>kN</t>
  </si>
  <si>
    <t>Spacing</t>
  </si>
  <si>
    <t>Material Properties</t>
  </si>
  <si>
    <t>Geometry</t>
  </si>
  <si>
    <t>kNm</t>
  </si>
  <si>
    <t>Strength Reduction Factor</t>
  </si>
  <si>
    <t>Minimum</t>
  </si>
  <si>
    <t>Flexural Design Strength</t>
  </si>
  <si>
    <t>Design Moment Capacity</t>
  </si>
  <si>
    <t>Nominal Tension Steel Condition</t>
  </si>
  <si>
    <t>Bending Moment</t>
  </si>
  <si>
    <t>Shear Force</t>
  </si>
  <si>
    <t>no.</t>
  </si>
  <si>
    <t>Density</t>
  </si>
  <si>
    <t>Nominal Reinforcement Strength</t>
  </si>
  <si>
    <t>Shear Design Strength</t>
  </si>
  <si>
    <t>Design Strength</t>
  </si>
  <si>
    <t>Link</t>
  </si>
  <si>
    <t>Tension steel ratio</t>
  </si>
  <si>
    <t>Effective depth</t>
  </si>
  <si>
    <t>ACI318-11:-</t>
  </si>
  <si>
    <t>cl. 4.1.1</t>
  </si>
  <si>
    <t>cl. 8.5.1</t>
  </si>
  <si>
    <t>cl. 10.2.3</t>
  </si>
  <si>
    <t>cl. 10.2.7.3</t>
  </si>
  <si>
    <t>cl. 8.6.1</t>
  </si>
  <si>
    <t>cl. 3.5.3</t>
  </si>
  <si>
    <t>cl. 8.5.2</t>
  </si>
  <si>
    <t>cl. 7.7</t>
  </si>
  <si>
    <t>cl. 11.4.5</t>
  </si>
  <si>
    <t>cl. 2.1</t>
  </si>
  <si>
    <t>cl. 10.5</t>
  </si>
  <si>
    <t>cl. 11.4.6</t>
  </si>
  <si>
    <t>cl. 10.2.7</t>
  </si>
  <si>
    <t>cl. 10.2.7.1</t>
  </si>
  <si>
    <t>cl. 10.2.2</t>
  </si>
  <si>
    <t>cl. 10.2.4</t>
  </si>
  <si>
    <t>cl. 10.2</t>
  </si>
  <si>
    <t>cl. 9.3.2</t>
  </si>
  <si>
    <t>cl. 9.3.1</t>
  </si>
  <si>
    <t>cl. 11.2.2.1
cl. 11.4.7.1</t>
  </si>
  <si>
    <t>cl. 11.4.7</t>
  </si>
  <si>
    <t>cl. 11.1.1</t>
  </si>
  <si>
    <t>date:</t>
  </si>
  <si>
    <t>checked:</t>
  </si>
  <si>
    <t>designed:</t>
  </si>
  <si>
    <t>file/ref no:</t>
  </si>
  <si>
    <t>section:</t>
  </si>
  <si>
    <t>of</t>
  </si>
  <si>
    <t>page:</t>
  </si>
  <si>
    <t>project:</t>
  </si>
  <si>
    <t>calculations</t>
  </si>
  <si>
    <t>mostlycivil.com</t>
  </si>
  <si>
    <t>BEAM NUMBER:</t>
  </si>
  <si>
    <t>1.0</t>
  </si>
  <si>
    <t>1.1</t>
  </si>
  <si>
    <t>Dia.</t>
  </si>
  <si>
    <r>
      <rPr>
        <i/>
        <sz val="10"/>
        <color theme="1"/>
        <rFont val="Calibri"/>
        <family val="2"/>
        <scheme val="minor"/>
      </rPr>
      <t>M</t>
    </r>
    <r>
      <rPr>
        <vertAlign val="subscript"/>
        <sz val="10"/>
        <color theme="1"/>
        <rFont val="Calibri"/>
        <family val="2"/>
        <scheme val="minor"/>
      </rPr>
      <t>u</t>
    </r>
    <r>
      <rPr>
        <sz val="10"/>
        <color theme="1"/>
        <rFont val="Calibri"/>
        <family val="2"/>
        <scheme val="minor"/>
      </rPr>
      <t xml:space="preserve"> =</t>
    </r>
  </si>
  <si>
    <r>
      <rPr>
        <i/>
        <sz val="10"/>
        <color theme="1"/>
        <rFont val="Calibri"/>
        <family val="2"/>
        <scheme val="minor"/>
      </rPr>
      <t>f'</t>
    </r>
    <r>
      <rPr>
        <i/>
        <vertAlign val="subscript"/>
        <sz val="10"/>
        <color theme="1"/>
        <rFont val="Calibri"/>
        <family val="2"/>
        <scheme val="minor"/>
      </rPr>
      <t>c</t>
    </r>
    <r>
      <rPr>
        <sz val="10"/>
        <color theme="1"/>
        <rFont val="Calibri"/>
        <family val="2"/>
        <scheme val="minor"/>
      </rPr>
      <t xml:space="preserve"> = </t>
    </r>
  </si>
  <si>
    <r>
      <t>N/mm</t>
    </r>
    <r>
      <rPr>
        <vertAlign val="superscript"/>
        <sz val="10"/>
        <color theme="1"/>
        <rFont val="Calibri"/>
        <family val="2"/>
        <scheme val="minor"/>
      </rPr>
      <t>2</t>
    </r>
  </si>
  <si>
    <r>
      <rPr>
        <i/>
        <sz val="10"/>
        <color theme="1"/>
        <rFont val="Calibri"/>
        <family val="2"/>
        <scheme val="minor"/>
      </rPr>
      <t>ε</t>
    </r>
    <r>
      <rPr>
        <i/>
        <vertAlign val="subscript"/>
        <sz val="10"/>
        <color theme="1"/>
        <rFont val="Calibri"/>
        <family val="2"/>
        <scheme val="minor"/>
      </rPr>
      <t>cu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</si>
  <si>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E</t>
    </r>
    <r>
      <rPr>
        <i/>
        <vertAlign val="subscript"/>
        <sz val="10"/>
        <color theme="1"/>
        <rFont val="Calibri"/>
        <family val="2"/>
        <scheme val="minor"/>
      </rPr>
      <t>c</t>
    </r>
    <r>
      <rPr>
        <sz val="10"/>
        <color theme="1"/>
        <rFont val="Calibri"/>
        <family val="2"/>
        <scheme val="minor"/>
      </rPr>
      <t xml:space="preserve"> = </t>
    </r>
  </si>
  <si>
    <r>
      <t>β</t>
    </r>
    <r>
      <rPr>
        <i/>
        <vertAlign val="subscript"/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</si>
  <si>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f</t>
    </r>
    <r>
      <rPr>
        <i/>
        <vertAlign val="subscript"/>
        <sz val="10"/>
        <color theme="1"/>
        <rFont val="Calibri"/>
        <family val="2"/>
        <scheme val="minor"/>
      </rPr>
      <t>y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</si>
  <si>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f</t>
    </r>
    <r>
      <rPr>
        <i/>
        <vertAlign val="subscript"/>
        <sz val="10"/>
        <color theme="1"/>
        <rFont val="Calibri"/>
        <family val="2"/>
        <scheme val="minor"/>
      </rPr>
      <t>yt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</si>
  <si>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E</t>
    </r>
    <r>
      <rPr>
        <i/>
        <vertAlign val="subscript"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</si>
  <si>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h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</si>
  <si>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b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</si>
  <si>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c</t>
    </r>
    <r>
      <rPr>
        <vertAlign val="subscript"/>
        <sz val="10"/>
        <color theme="1"/>
        <rFont val="Calibri"/>
        <family val="2"/>
        <scheme val="minor"/>
      </rPr>
      <t>c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</si>
  <si>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d</t>
    </r>
    <r>
      <rPr>
        <i/>
        <vertAlign val="subscript"/>
        <sz val="10"/>
        <color theme="1"/>
        <rFont val="Calibri"/>
        <family val="2"/>
        <scheme val="minor"/>
      </rPr>
      <t>b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</si>
  <si>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n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</si>
  <si>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d</t>
    </r>
    <r>
      <rPr>
        <i/>
        <vertAlign val="subscript"/>
        <sz val="10"/>
        <color theme="1"/>
        <rFont val="Calibri"/>
        <family val="2"/>
        <scheme val="minor"/>
      </rPr>
      <t>lb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</si>
  <si>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</si>
  <si>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s</t>
    </r>
    <r>
      <rPr>
        <i/>
        <vertAlign val="subscript"/>
        <sz val="10"/>
        <color theme="1"/>
        <rFont val="Calibri"/>
        <family val="2"/>
        <scheme val="minor"/>
      </rPr>
      <t>max</t>
    </r>
    <r>
      <rPr>
        <sz val="10"/>
        <color theme="1"/>
        <rFont val="Calibri"/>
        <family val="2"/>
        <scheme val="minor"/>
      </rPr>
      <t xml:space="preserve"> =</t>
    </r>
  </si>
  <si>
    <r>
      <rPr>
        <i/>
        <sz val="10"/>
        <color theme="1"/>
        <rFont val="Calibri"/>
        <family val="2"/>
        <scheme val="minor"/>
      </rPr>
      <t>d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</si>
  <si>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A</t>
    </r>
    <r>
      <rPr>
        <vertAlign val="subscript"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 xml:space="preserve"> = </t>
    </r>
  </si>
  <si>
    <r>
      <t>mm</t>
    </r>
    <r>
      <rPr>
        <vertAlign val="superscript"/>
        <sz val="10"/>
        <color theme="1"/>
        <rFont val="Calibri"/>
        <family val="2"/>
        <scheme val="minor"/>
      </rPr>
      <t>2</t>
    </r>
  </si>
  <si>
    <r>
      <rPr>
        <i/>
        <sz val="10"/>
        <color theme="1"/>
        <rFont val="Calibri"/>
        <family val="2"/>
        <scheme val="minor"/>
      </rPr>
      <t>A</t>
    </r>
    <r>
      <rPr>
        <vertAlign val="subscript"/>
        <sz val="10"/>
        <color theme="1"/>
        <rFont val="Calibri"/>
        <family val="2"/>
        <scheme val="minor"/>
      </rPr>
      <t>s min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</si>
  <si>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A</t>
    </r>
    <r>
      <rPr>
        <vertAlign val="subscript"/>
        <sz val="10"/>
        <color theme="1"/>
        <rFont val="Calibri"/>
        <family val="2"/>
        <scheme val="minor"/>
      </rPr>
      <t>sv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</si>
  <si>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A</t>
    </r>
    <r>
      <rPr>
        <i/>
        <vertAlign val="subscript"/>
        <sz val="10"/>
        <color theme="1"/>
        <rFont val="Calibri"/>
        <family val="2"/>
        <scheme val="minor"/>
      </rPr>
      <t>v min</t>
    </r>
    <r>
      <rPr>
        <sz val="10"/>
        <color theme="1"/>
        <rFont val="Calibri"/>
        <family val="2"/>
        <scheme val="minor"/>
      </rPr>
      <t xml:space="preserve"> =</t>
    </r>
  </si>
  <si>
    <r>
      <rPr>
        <i/>
        <sz val="10"/>
        <color theme="1"/>
        <rFont val="Calibri"/>
        <family val="2"/>
        <scheme val="minor"/>
      </rPr>
      <t>p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</si>
  <si>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 xml:space="preserve"> = </t>
    </r>
  </si>
  <si>
    <r>
      <t>ε</t>
    </r>
    <r>
      <rPr>
        <vertAlign val="subscript"/>
        <sz val="10"/>
        <color theme="1"/>
        <rFont val="Calibri"/>
        <family val="2"/>
        <scheme val="minor"/>
      </rPr>
      <t>t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</si>
  <si>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f</t>
    </r>
    <r>
      <rPr>
        <vertAlign val="subscript"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</si>
  <si>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M</t>
    </r>
    <r>
      <rPr>
        <vertAlign val="subscript"/>
        <sz val="10"/>
        <color theme="1"/>
        <rFont val="Calibri"/>
        <family val="2"/>
        <scheme val="minor"/>
      </rPr>
      <t>n</t>
    </r>
    <r>
      <rPr>
        <sz val="10"/>
        <color theme="1"/>
        <rFont val="Calibri"/>
        <family val="2"/>
        <scheme val="minor"/>
      </rPr>
      <t xml:space="preserve"> = </t>
    </r>
  </si>
  <si>
    <r>
      <rPr>
        <sz val="10"/>
        <color theme="1"/>
        <rFont val="GreekS"/>
      </rPr>
      <t>ε</t>
    </r>
    <r>
      <rPr>
        <vertAlign val="subscript"/>
        <sz val="10"/>
        <color theme="1"/>
        <rFont val="Calibri"/>
        <family val="2"/>
      </rPr>
      <t>t</t>
    </r>
    <r>
      <rPr>
        <sz val="10"/>
        <color theme="1"/>
        <rFont val="Calibri"/>
        <family val="2"/>
      </rPr>
      <t xml:space="preserve"> ≤   </t>
    </r>
  </si>
  <si>
    <r>
      <rPr>
        <sz val="10"/>
        <color theme="1"/>
        <rFont val="GreekS"/>
      </rPr>
      <t>ε</t>
    </r>
    <r>
      <rPr>
        <vertAlign val="subscript"/>
        <sz val="10"/>
        <color theme="1"/>
        <rFont val="Calibri"/>
        <family val="2"/>
      </rPr>
      <t>t</t>
    </r>
    <r>
      <rPr>
        <sz val="10"/>
        <color theme="1"/>
        <rFont val="Calibri"/>
        <family val="2"/>
      </rPr>
      <t xml:space="preserve"> ≥   </t>
    </r>
  </si>
  <si>
    <r>
      <rPr>
        <sz val="10"/>
        <color theme="1"/>
        <rFont val="GreekS"/>
      </rPr>
      <t>ε</t>
    </r>
    <r>
      <rPr>
        <vertAlign val="subscript"/>
        <sz val="10"/>
        <color theme="1"/>
        <rFont val="Calibri"/>
        <family val="2"/>
      </rPr>
      <t>t</t>
    </r>
    <r>
      <rPr>
        <sz val="10"/>
        <color theme="1"/>
        <rFont val="Calibri"/>
        <family val="2"/>
      </rPr>
      <t xml:space="preserve"> =  </t>
    </r>
  </si>
  <si>
    <r>
      <rPr>
        <i/>
        <sz val="10"/>
        <color theme="1"/>
        <rFont val="Calibri"/>
        <family val="2"/>
        <scheme val="minor"/>
      </rPr>
      <t>V</t>
    </r>
    <r>
      <rPr>
        <vertAlign val="subscript"/>
        <sz val="10"/>
        <color theme="1"/>
        <rFont val="Calibri"/>
        <family val="2"/>
        <scheme val="minor"/>
      </rPr>
      <t>c</t>
    </r>
    <r>
      <rPr>
        <sz val="10"/>
        <color theme="1"/>
        <rFont val="Calibri"/>
        <family val="2"/>
        <scheme val="minor"/>
      </rPr>
      <t xml:space="preserve"> = </t>
    </r>
  </si>
  <si>
    <r>
      <rPr>
        <i/>
        <sz val="10"/>
        <color theme="1"/>
        <rFont val="Calibri"/>
        <family val="2"/>
        <scheme val="minor"/>
      </rPr>
      <t>V</t>
    </r>
    <r>
      <rPr>
        <vertAlign val="subscript"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 xml:space="preserve"> = </t>
    </r>
  </si>
  <si>
    <t>Concrete:</t>
  </si>
  <si>
    <t>Main rebar:</t>
  </si>
  <si>
    <t>1.3</t>
  </si>
  <si>
    <t>1.2</t>
  </si>
  <si>
    <t>1.4</t>
  </si>
  <si>
    <t>Stress block depth</t>
  </si>
  <si>
    <t>Neutral axis depth</t>
  </si>
  <si>
    <t>Steel strain</t>
  </si>
  <si>
    <t>Steel stress</t>
  </si>
  <si>
    <t>Concrete compression</t>
  </si>
  <si>
    <t>Steel tension</t>
  </si>
  <si>
    <t>Moment capacity</t>
  </si>
  <si>
    <t>Comp. Controlled</t>
  </si>
  <si>
    <r>
      <rPr>
        <b/>
        <i/>
        <sz val="10"/>
        <color theme="1"/>
        <rFont val="Calibri"/>
        <family val="2"/>
        <scheme val="minor"/>
      </rPr>
      <t>M</t>
    </r>
    <r>
      <rPr>
        <b/>
        <vertAlign val="subscript"/>
        <sz val="10"/>
        <color theme="1"/>
        <rFont val="Calibri"/>
        <family val="2"/>
        <scheme val="minor"/>
      </rPr>
      <t>r</t>
    </r>
    <r>
      <rPr>
        <b/>
        <sz val="10"/>
        <color theme="1"/>
        <rFont val="Calibri"/>
        <family val="2"/>
        <scheme val="minor"/>
      </rPr>
      <t xml:space="preserve"> =</t>
    </r>
  </si>
  <si>
    <r>
      <rPr>
        <b/>
        <i/>
        <sz val="10"/>
        <color theme="1"/>
        <rFont val="Calibri"/>
        <family val="2"/>
        <scheme val="minor"/>
      </rPr>
      <t>V</t>
    </r>
    <r>
      <rPr>
        <b/>
        <vertAlign val="subscript"/>
        <sz val="10"/>
        <color theme="1"/>
        <rFont val="Calibri"/>
        <family val="2"/>
        <scheme val="minor"/>
      </rPr>
      <t>r</t>
    </r>
    <r>
      <rPr>
        <b/>
        <sz val="10"/>
        <color theme="1"/>
        <rFont val="Calibri"/>
        <family val="2"/>
        <scheme val="minor"/>
      </rPr>
      <t xml:space="preserve"> = </t>
    </r>
  </si>
  <si>
    <t>1.5</t>
  </si>
  <si>
    <t>1.6</t>
  </si>
  <si>
    <t>Vertical link:</t>
  </si>
  <si>
    <t>Rebar:</t>
  </si>
  <si>
    <t>Shear steel area:</t>
  </si>
  <si>
    <r>
      <rPr>
        <i/>
        <sz val="10"/>
        <color theme="1"/>
        <rFont val="Calibri"/>
        <family val="2"/>
        <scheme val="minor"/>
      </rPr>
      <t>V</t>
    </r>
    <r>
      <rPr>
        <vertAlign val="subscript"/>
        <sz val="10"/>
        <color theme="1"/>
        <rFont val="Calibri"/>
        <family val="2"/>
        <scheme val="minor"/>
      </rPr>
      <t>u</t>
    </r>
    <r>
      <rPr>
        <sz val="10"/>
        <color theme="1"/>
        <rFont val="Calibri"/>
        <family val="2"/>
        <scheme val="minor"/>
      </rPr>
      <t xml:space="preserve"> =</t>
    </r>
  </si>
  <si>
    <t xml:space="preserve">w w w . m o s t l y c i v i l . c o m </t>
  </si>
  <si>
    <r>
      <t xml:space="preserve">Rebar strain limits </t>
    </r>
    <r>
      <rPr>
        <sz val="7"/>
        <color theme="1"/>
        <rFont val="Calibri"/>
        <family val="2"/>
        <scheme val="minor"/>
      </rPr>
      <t xml:space="preserve">(ref. </t>
    </r>
    <r>
      <rPr>
        <i/>
        <sz val="7"/>
        <color theme="1"/>
        <rFont val="Calibri"/>
        <family val="2"/>
        <scheme val="minor"/>
      </rPr>
      <t>cl. 10.3.3 - 5</t>
    </r>
    <r>
      <rPr>
        <sz val="7"/>
        <color theme="1"/>
        <rFont val="Calibri"/>
        <family val="2"/>
        <scheme val="minor"/>
      </rPr>
      <t>)</t>
    </r>
    <r>
      <rPr>
        <sz val="10"/>
        <color theme="1"/>
        <rFont val="Calibri"/>
        <family val="2"/>
        <scheme val="minor"/>
      </rPr>
      <t>:-</t>
    </r>
  </si>
  <si>
    <t>Block factor</t>
  </si>
  <si>
    <t>λ =</t>
  </si>
  <si>
    <t>C =</t>
  </si>
  <si>
    <t>T =</t>
  </si>
  <si>
    <t>ϕ =</t>
  </si>
  <si>
    <t>Tension steel area reqd:</t>
  </si>
  <si>
    <t>Tension steel area provd:</t>
  </si>
  <si>
    <r>
      <rPr>
        <i/>
        <sz val="10"/>
        <color theme="1"/>
        <rFont val="Calibri"/>
        <family val="2"/>
        <scheme val="minor"/>
      </rPr>
      <t>A</t>
    </r>
    <r>
      <rPr>
        <i/>
        <vertAlign val="subscript"/>
        <sz val="10"/>
        <color theme="1"/>
        <rFont val="Calibri"/>
        <family val="2"/>
        <scheme val="minor"/>
      </rPr>
      <t>s reqd</t>
    </r>
    <r>
      <rPr>
        <sz val="10"/>
        <color theme="1"/>
        <rFont val="Calibri"/>
        <family val="2"/>
        <scheme val="minor"/>
      </rPr>
      <t xml:space="preserve"> = </t>
    </r>
  </si>
  <si>
    <t>cl. 10.5.3</t>
  </si>
  <si>
    <t>cl. 10.2 - 3</t>
  </si>
  <si>
    <t>Factored Design Load Effects</t>
  </si>
  <si>
    <t>cl. 9.2</t>
  </si>
  <si>
    <t>cl. 11.4.5.1</t>
  </si>
</sst>
</file>

<file path=xl/styles.xml><?xml version="1.0" encoding="utf-8"?>
<styleSheet xmlns="http://schemas.openxmlformats.org/spreadsheetml/2006/main">
  <numFmts count="3">
    <numFmt numFmtId="164" formatCode="0.0000"/>
    <numFmt numFmtId="165" formatCode="0.000"/>
    <numFmt numFmtId="166" formatCode="0.0"/>
  </numFmts>
  <fonts count="29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7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u/>
      <sz val="11"/>
      <color rgb="FFFF0000"/>
      <name val="Calibri"/>
      <family val="2"/>
      <scheme val="minor"/>
    </font>
    <font>
      <b/>
      <sz val="10"/>
      <name val="Arial"/>
      <family val="2"/>
    </font>
    <font>
      <b/>
      <sz val="14"/>
      <name val="Arial"/>
      <family val="2"/>
    </font>
    <font>
      <b/>
      <sz val="24"/>
      <color rgb="FF05A5D9"/>
      <name val="Arial"/>
      <family val="2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vertAlign val="subscript"/>
      <sz val="10"/>
      <color theme="1"/>
      <name val="Calibri"/>
      <family val="2"/>
      <scheme val="minor"/>
    </font>
    <font>
      <i/>
      <vertAlign val="subscript"/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i/>
      <sz val="10"/>
      <color rgb="FFFF0000"/>
      <name val="Calibri"/>
      <family val="2"/>
      <scheme val="minor"/>
    </font>
    <font>
      <vertAlign val="subscript"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GreekS"/>
    </font>
    <font>
      <vertAlign val="subscript"/>
      <sz val="10"/>
      <color theme="1"/>
      <name val="Calibri"/>
      <family val="2"/>
    </font>
    <font>
      <i/>
      <sz val="9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vertAlign val="subscript"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6"/>
      <color theme="1"/>
      <name val="Calibri"/>
      <family val="2"/>
      <scheme val="minor"/>
    </font>
    <font>
      <i/>
      <sz val="9"/>
      <name val="Calibri"/>
      <family val="2"/>
      <scheme val="minor"/>
    </font>
    <font>
      <b/>
      <sz val="5"/>
      <color rgb="FF05A5D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1" fontId="0" fillId="0" borderId="0" xfId="0" applyNumberFormat="1"/>
    <xf numFmtId="0" fontId="0" fillId="0" borderId="0" xfId="0" applyFill="1"/>
    <xf numFmtId="1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0" xfId="0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4" fillId="0" borderId="0" xfId="0" applyFont="1" applyAlignment="1">
      <alignment horizontal="right"/>
    </xf>
    <xf numFmtId="0" fontId="2" fillId="0" borderId="3" xfId="0" applyFont="1" applyBorder="1" applyAlignment="1"/>
    <xf numFmtId="0" fontId="2" fillId="0" borderId="0" xfId="0" applyFont="1" applyBorder="1" applyAlignment="1"/>
    <xf numFmtId="0" fontId="0" fillId="0" borderId="0" xfId="0" applyAlignment="1">
      <alignment horizontal="right"/>
    </xf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/>
    <xf numFmtId="0" fontId="5" fillId="0" borderId="4" xfId="0" applyFont="1" applyBorder="1" applyAlignment="1">
      <alignment horizontal="left"/>
    </xf>
    <xf numFmtId="0" fontId="5" fillId="0" borderId="0" xfId="0" applyFont="1" applyBorder="1"/>
    <xf numFmtId="0" fontId="8" fillId="0" borderId="0" xfId="0" applyFont="1" applyBorder="1"/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righ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10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/>
    <xf numFmtId="0" fontId="11" fillId="0" borderId="0" xfId="0" applyFont="1" applyBorder="1" applyAlignment="1"/>
    <xf numFmtId="0" fontId="15" fillId="0" borderId="0" xfId="0" applyFont="1"/>
    <xf numFmtId="0" fontId="16" fillId="0" borderId="0" xfId="0" applyFont="1" applyBorder="1"/>
    <xf numFmtId="0" fontId="8" fillId="0" borderId="0" xfId="0" applyFont="1"/>
    <xf numFmtId="0" fontId="17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1" fontId="8" fillId="0" borderId="0" xfId="0" applyNumberFormat="1" applyFont="1" applyAlignment="1">
      <alignment horizontal="right"/>
    </xf>
    <xf numFmtId="0" fontId="18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1" fontId="8" fillId="0" borderId="0" xfId="0" applyNumberFormat="1" applyFont="1" applyBorder="1" applyAlignment="1"/>
    <xf numFmtId="0" fontId="11" fillId="0" borderId="0" xfId="0" applyFont="1" applyBorder="1" applyAlignment="1">
      <alignment vertical="center" wrapText="1"/>
    </xf>
    <xf numFmtId="1" fontId="8" fillId="0" borderId="0" xfId="0" applyNumberFormat="1" applyFont="1"/>
    <xf numFmtId="0" fontId="8" fillId="0" borderId="4" xfId="0" applyFont="1" applyBorder="1" applyAlignment="1">
      <alignment horizontal="left" vertical="center"/>
    </xf>
    <xf numFmtId="0" fontId="21" fillId="0" borderId="0" xfId="0" applyFont="1"/>
    <xf numFmtId="0" fontId="22" fillId="0" borderId="0" xfId="0" applyFont="1"/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/>
    </xf>
    <xf numFmtId="0" fontId="22" fillId="0" borderId="0" xfId="0" applyFont="1" applyAlignment="1">
      <alignment horizontal="left" vertical="center"/>
    </xf>
    <xf numFmtId="0" fontId="10" fillId="0" borderId="5" xfId="0" applyFont="1" applyBorder="1" applyAlignment="1">
      <alignment horizontal="right" vertical="center"/>
    </xf>
    <xf numFmtId="0" fontId="10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right"/>
    </xf>
    <xf numFmtId="0" fontId="10" fillId="0" borderId="0" xfId="0" applyFont="1" applyAlignment="1">
      <alignment vertical="center"/>
    </xf>
    <xf numFmtId="0" fontId="8" fillId="0" borderId="0" xfId="0" quotePrefix="1" applyFont="1" applyBorder="1" applyProtection="1">
      <protection locked="0"/>
    </xf>
    <xf numFmtId="0" fontId="8" fillId="0" borderId="0" xfId="0" applyFont="1" applyBorder="1" applyProtection="1">
      <protection locked="0"/>
    </xf>
    <xf numFmtId="0" fontId="5" fillId="0" borderId="4" xfId="0" applyFont="1" applyBorder="1" applyAlignment="1" applyProtection="1">
      <alignment horizontal="left"/>
      <protection locked="0"/>
    </xf>
    <xf numFmtId="0" fontId="8" fillId="0" borderId="4" xfId="0" applyFont="1" applyBorder="1" applyAlignment="1" applyProtection="1">
      <alignment horizontal="left" vertical="center"/>
      <protection locked="0"/>
    </xf>
    <xf numFmtId="0" fontId="8" fillId="0" borderId="4" xfId="0" applyFont="1" applyBorder="1" applyProtection="1">
      <protection locked="0"/>
    </xf>
    <xf numFmtId="0" fontId="8" fillId="0" borderId="4" xfId="0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Border="1" applyProtection="1">
      <protection locked="0"/>
    </xf>
    <xf numFmtId="0" fontId="7" fillId="0" borderId="0" xfId="0" applyFont="1" applyAlignment="1" applyProtection="1">
      <alignment horizontal="right"/>
      <protection locked="0"/>
    </xf>
    <xf numFmtId="0" fontId="8" fillId="0" borderId="0" xfId="0" applyFont="1" applyProtection="1">
      <protection locked="0"/>
    </xf>
    <xf numFmtId="0" fontId="27" fillId="0" borderId="0" xfId="0" applyFont="1"/>
    <xf numFmtId="0" fontId="8" fillId="0" borderId="0" xfId="0" applyFont="1"/>
    <xf numFmtId="1" fontId="8" fillId="0" borderId="0" xfId="0" applyNumberFormat="1" applyFont="1" applyAlignment="1"/>
    <xf numFmtId="0" fontId="22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Fill="1" applyAlignment="1">
      <alignment horizontal="right"/>
    </xf>
    <xf numFmtId="0" fontId="0" fillId="0" borderId="0" xfId="0" applyFill="1" applyAlignment="1">
      <alignment horizontal="right" vertical="center"/>
    </xf>
    <xf numFmtId="164" fontId="0" fillId="0" borderId="0" xfId="0" applyNumberForma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Fill="1" applyBorder="1" applyAlignment="1"/>
    <xf numFmtId="165" fontId="0" fillId="0" borderId="0" xfId="0" applyNumberFormat="1" applyFill="1" applyBorder="1" applyAlignment="1">
      <alignment horizontal="center"/>
    </xf>
    <xf numFmtId="166" fontId="0" fillId="0" borderId="0" xfId="0" applyNumberFormat="1" applyFill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8" fillId="2" borderId="0" xfId="0" applyFont="1" applyFill="1" applyAlignment="1" applyProtection="1">
      <alignment horizontal="right" vertical="center"/>
      <protection locked="0"/>
    </xf>
    <xf numFmtId="1" fontId="8" fillId="0" borderId="0" xfId="0" applyNumberFormat="1" applyFont="1" applyAlignment="1">
      <alignment horizontal="right" vertical="center"/>
    </xf>
    <xf numFmtId="0" fontId="8" fillId="0" borderId="0" xfId="0" applyFont="1" applyFill="1" applyAlignment="1" applyProtection="1">
      <alignment horizontal="right" vertical="center"/>
      <protection locked="0"/>
    </xf>
    <xf numFmtId="1" fontId="8" fillId="0" borderId="0" xfId="0" applyNumberFormat="1" applyFont="1" applyAlignment="1"/>
    <xf numFmtId="0" fontId="8" fillId="2" borderId="0" xfId="0" applyFont="1" applyFill="1" applyAlignment="1" applyProtection="1">
      <alignment vertical="center"/>
      <protection locked="0"/>
    </xf>
    <xf numFmtId="0" fontId="8" fillId="2" borderId="0" xfId="0" applyFont="1" applyFill="1" applyProtection="1">
      <protection locked="0"/>
    </xf>
    <xf numFmtId="0" fontId="8" fillId="0" borderId="0" xfId="0" applyFont="1" applyAlignment="1">
      <alignment horizontal="right" vertical="center"/>
    </xf>
    <xf numFmtId="0" fontId="8" fillId="0" borderId="4" xfId="0" applyFont="1" applyBorder="1" applyAlignment="1">
      <alignment horizontal="left" vertical="center"/>
    </xf>
    <xf numFmtId="1" fontId="8" fillId="0" borderId="0" xfId="0" applyNumberFormat="1" applyFont="1"/>
    <xf numFmtId="0" fontId="8" fillId="0" borderId="0" xfId="0" applyFont="1"/>
    <xf numFmtId="164" fontId="8" fillId="0" borderId="0" xfId="0" applyNumberFormat="1" applyFont="1"/>
    <xf numFmtId="164" fontId="8" fillId="0" borderId="0" xfId="0" applyNumberFormat="1" applyFont="1" applyAlignment="1"/>
    <xf numFmtId="0" fontId="8" fillId="0" borderId="0" xfId="0" applyFont="1" applyFill="1"/>
    <xf numFmtId="1" fontId="10" fillId="0" borderId="5" xfId="0" applyNumberFormat="1" applyFont="1" applyBorder="1"/>
    <xf numFmtId="0" fontId="26" fillId="0" borderId="0" xfId="0" applyFont="1" applyBorder="1" applyAlignment="1">
      <alignment vertical="center" wrapText="1" shrinkToFit="1"/>
    </xf>
    <xf numFmtId="0" fontId="26" fillId="0" borderId="3" xfId="0" applyFont="1" applyBorder="1" applyAlignment="1">
      <alignment vertical="center" wrapText="1" shrinkToFit="1"/>
    </xf>
    <xf numFmtId="0" fontId="28" fillId="0" borderId="0" xfId="0" applyFont="1" applyAlignment="1" applyProtection="1">
      <alignment horizontal="right" vertical="center"/>
    </xf>
  </cellXfs>
  <cellStyles count="1">
    <cellStyle name="Normal" xfId="0" builtinId="0"/>
  </cellStyles>
  <dxfs count="17">
    <dxf>
      <font>
        <b val="0"/>
        <i/>
      </font>
    </dxf>
    <dxf>
      <font>
        <b val="0"/>
        <i/>
      </font>
    </dxf>
    <dxf>
      <font>
        <b val="0"/>
        <i/>
      </font>
    </dxf>
    <dxf>
      <font>
        <b val="0"/>
        <i/>
        <strike val="0"/>
      </font>
    </dxf>
    <dxf>
      <font>
        <strike val="0"/>
        <color rgb="FFFF0000"/>
      </font>
    </dxf>
    <dxf>
      <font>
        <strike val="0"/>
        <color rgb="FFFF0000"/>
      </font>
    </dxf>
    <dxf>
      <font>
        <strike val="0"/>
        <color rgb="FFFF0000"/>
      </font>
    </dxf>
    <dxf>
      <font>
        <strike val="0"/>
        <color rgb="FFFF0000"/>
      </font>
    </dxf>
    <dxf>
      <font>
        <color rgb="FFFF0000"/>
      </font>
    </dxf>
    <dxf>
      <font>
        <strike val="0"/>
        <color rgb="FFFF0000"/>
      </font>
    </dxf>
    <dxf>
      <font>
        <color rgb="FFFF0000"/>
      </font>
    </dxf>
    <dxf>
      <font>
        <strike val="0"/>
        <color rgb="FFFF0000"/>
      </font>
    </dxf>
    <dxf>
      <font>
        <strike val="0"/>
        <color rgb="FFFF0000"/>
      </font>
    </dxf>
    <dxf>
      <font>
        <strike val="0"/>
        <color rgb="FFFF0000"/>
      </font>
    </dxf>
    <dxf>
      <font>
        <b val="0"/>
        <i/>
        <strike val="0"/>
        <color rgb="FFFF0000"/>
      </font>
    </dxf>
    <dxf>
      <font>
        <b val="0"/>
        <i val="0"/>
        <strike val="0"/>
        <color rgb="FFFF0000"/>
      </font>
    </dxf>
    <dxf>
      <font>
        <strike val="0"/>
        <color rgb="FFFF0000"/>
      </font>
    </dxf>
  </dxfs>
  <tableStyles count="0" defaultTableStyle="TableStyleMedium2" defaultPivotStyle="PivotStyleLight16"/>
  <colors>
    <mruColors>
      <color rgb="FF05A5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73"/>
  <sheetViews>
    <sheetView tabSelected="1" view="pageLayout" topLeftCell="A7" zoomScaleNormal="102" workbookViewId="0">
      <selection activeCell="AB7" sqref="AB7"/>
    </sheetView>
  </sheetViews>
  <sheetFormatPr defaultRowHeight="15" customHeight="1"/>
  <cols>
    <col min="1" max="4" width="3.42578125" style="11" customWidth="1"/>
    <col min="5" max="15" width="3.42578125" customWidth="1"/>
    <col min="16" max="16" width="3.42578125" style="1" customWidth="1"/>
    <col min="17" max="18" width="3.42578125" customWidth="1"/>
    <col min="19" max="19" width="3.42578125" style="21" customWidth="1"/>
    <col min="20" max="20" width="3.42578125" style="3" customWidth="1"/>
    <col min="21" max="21" width="3.42578125" customWidth="1"/>
    <col min="22" max="24" width="3.42578125" style="11" customWidth="1"/>
    <col min="25" max="25" width="3.42578125" customWidth="1"/>
    <col min="26" max="27" width="3.42578125" style="11" customWidth="1"/>
    <col min="28" max="30" width="3.42578125" customWidth="1"/>
  </cols>
  <sheetData>
    <row r="1" spans="1:31" s="20" customFormat="1" ht="30" customHeight="1">
      <c r="A1" s="83" t="s">
        <v>62</v>
      </c>
      <c r="B1" s="24"/>
      <c r="C1" s="75"/>
      <c r="D1" s="2"/>
      <c r="E1" s="2"/>
      <c r="F1" s="2"/>
      <c r="I1" s="2"/>
      <c r="P1" s="19"/>
      <c r="Q1" s="65"/>
      <c r="R1" s="65"/>
      <c r="S1" s="66"/>
      <c r="T1" s="67"/>
      <c r="U1" s="65"/>
      <c r="V1" s="68"/>
      <c r="W1" s="68"/>
      <c r="X1" s="68"/>
      <c r="Y1" s="65"/>
      <c r="Z1" s="68"/>
      <c r="AA1" s="68"/>
      <c r="AB1" s="69" t="s">
        <v>63</v>
      </c>
    </row>
    <row r="2" spans="1:31" s="20" customFormat="1" ht="15.95" customHeight="1">
      <c r="A2" s="24"/>
      <c r="B2" s="24"/>
      <c r="C2" s="75"/>
      <c r="D2" s="13"/>
      <c r="E2" s="13"/>
      <c r="F2" s="13"/>
      <c r="H2" s="13"/>
      <c r="I2" s="2"/>
      <c r="J2" s="2"/>
      <c r="K2" s="2"/>
      <c r="P2" s="19"/>
      <c r="S2" s="21"/>
      <c r="T2" s="3"/>
      <c r="V2" s="11"/>
      <c r="W2" s="11"/>
      <c r="X2" s="11"/>
      <c r="Z2" s="11"/>
      <c r="AA2" s="11"/>
    </row>
    <row r="3" spans="1:31" s="20" customFormat="1" ht="15.95" customHeight="1">
      <c r="A3" s="91" t="s">
        <v>61</v>
      </c>
      <c r="B3" s="91"/>
      <c r="C3" s="91"/>
      <c r="D3" s="61"/>
      <c r="E3" s="61"/>
      <c r="F3" s="61"/>
      <c r="G3" s="62"/>
      <c r="H3" s="61"/>
      <c r="I3" s="62"/>
      <c r="J3" s="62"/>
      <c r="K3" s="62"/>
      <c r="L3" s="63"/>
      <c r="M3" s="63"/>
      <c r="N3" s="63"/>
      <c r="O3" s="63"/>
      <c r="P3" s="64"/>
      <c r="Q3" s="49" t="s">
        <v>60</v>
      </c>
      <c r="R3" s="23"/>
      <c r="S3" s="62"/>
      <c r="T3" s="62"/>
      <c r="U3" s="63"/>
      <c r="V3" s="63"/>
      <c r="W3" s="49" t="s">
        <v>59</v>
      </c>
      <c r="X3" s="63"/>
      <c r="Y3" s="63"/>
      <c r="Z3" s="63"/>
      <c r="AA3" s="63"/>
      <c r="AB3" s="63"/>
    </row>
    <row r="4" spans="1:31" s="20" customFormat="1" ht="15.95" customHeight="1">
      <c r="A4" s="91" t="s">
        <v>58</v>
      </c>
      <c r="B4" s="91"/>
      <c r="C4" s="91"/>
      <c r="D4" s="61"/>
      <c r="E4" s="61"/>
      <c r="F4" s="61"/>
      <c r="G4" s="62"/>
      <c r="H4" s="61"/>
      <c r="I4" s="62"/>
      <c r="J4" s="62"/>
      <c r="K4" s="62"/>
      <c r="L4" s="63"/>
      <c r="M4" s="63"/>
      <c r="N4" s="63"/>
      <c r="O4" s="63"/>
      <c r="P4" s="64"/>
      <c r="Q4" s="49" t="s">
        <v>57</v>
      </c>
      <c r="R4" s="23"/>
      <c r="S4" s="49"/>
      <c r="T4" s="62"/>
      <c r="U4" s="63"/>
      <c r="V4" s="63"/>
      <c r="W4" s="63"/>
      <c r="X4" s="63"/>
      <c r="Y4" s="63"/>
      <c r="Z4" s="63"/>
      <c r="AA4" s="63"/>
      <c r="AB4" s="63"/>
    </row>
    <row r="5" spans="1:31" s="20" customFormat="1" ht="15.95" customHeight="1">
      <c r="A5" s="91" t="s">
        <v>56</v>
      </c>
      <c r="B5" s="91"/>
      <c r="C5" s="91"/>
      <c r="D5" s="61"/>
      <c r="E5" s="61"/>
      <c r="F5" s="61"/>
      <c r="G5" s="62"/>
      <c r="H5" s="61"/>
      <c r="I5" s="62"/>
      <c r="J5" s="62"/>
      <c r="K5" s="62"/>
      <c r="L5" s="63"/>
      <c r="M5" s="63"/>
      <c r="N5" s="63"/>
      <c r="O5" s="63"/>
      <c r="P5" s="64"/>
      <c r="Q5" s="49" t="s">
        <v>54</v>
      </c>
      <c r="R5" s="23"/>
      <c r="S5" s="49"/>
      <c r="T5" s="62"/>
      <c r="U5" s="63"/>
      <c r="V5" s="63"/>
      <c r="W5" s="63"/>
      <c r="X5" s="63"/>
      <c r="Y5" s="63"/>
      <c r="Z5" s="63"/>
      <c r="AA5" s="63"/>
      <c r="AB5" s="63"/>
    </row>
    <row r="6" spans="1:31" s="20" customFormat="1" ht="15.95" customHeight="1">
      <c r="A6" s="91" t="s">
        <v>55</v>
      </c>
      <c r="B6" s="91"/>
      <c r="C6" s="91"/>
      <c r="D6" s="61"/>
      <c r="E6" s="61"/>
      <c r="F6" s="61"/>
      <c r="G6" s="62"/>
      <c r="H6" s="61"/>
      <c r="I6" s="62"/>
      <c r="J6" s="62"/>
      <c r="K6" s="62"/>
      <c r="L6" s="63"/>
      <c r="M6" s="63"/>
      <c r="N6" s="63"/>
      <c r="O6" s="63"/>
      <c r="P6" s="64"/>
      <c r="Q6" s="49" t="s">
        <v>54</v>
      </c>
      <c r="R6" s="23"/>
      <c r="S6" s="49"/>
      <c r="T6" s="62"/>
      <c r="U6" s="63"/>
      <c r="V6" s="63"/>
      <c r="W6" s="63"/>
      <c r="X6" s="63"/>
      <c r="Y6" s="63"/>
      <c r="Z6" s="63"/>
      <c r="AA6" s="63"/>
      <c r="AB6" s="63"/>
    </row>
    <row r="7" spans="1:31" s="20" customFormat="1" ht="6.95" customHeight="1">
      <c r="A7" s="9"/>
      <c r="B7" s="10"/>
      <c r="C7" s="11"/>
      <c r="D7" s="11"/>
      <c r="P7" s="19"/>
      <c r="S7" s="21"/>
      <c r="T7" s="3"/>
      <c r="V7" s="11"/>
      <c r="W7" s="11"/>
      <c r="X7" s="11"/>
      <c r="Z7" s="11"/>
      <c r="AA7" s="11"/>
      <c r="AB7" s="100" t="s">
        <v>122</v>
      </c>
    </row>
    <row r="8" spans="1:31" s="20" customFormat="1" ht="15" customHeight="1">
      <c r="A8" s="18" t="s">
        <v>31</v>
      </c>
      <c r="B8" s="12"/>
      <c r="C8" s="59" t="s">
        <v>65</v>
      </c>
      <c r="D8" s="60"/>
      <c r="E8" s="26" t="s">
        <v>64</v>
      </c>
      <c r="F8" s="27"/>
      <c r="G8" s="27"/>
      <c r="H8" s="27"/>
      <c r="I8" s="70"/>
      <c r="J8" s="70"/>
      <c r="K8" s="70"/>
      <c r="L8" s="70"/>
      <c r="M8" s="70"/>
      <c r="N8" s="70"/>
      <c r="O8" s="70"/>
      <c r="P8" s="28"/>
      <c r="Q8" s="27"/>
      <c r="R8" s="27"/>
      <c r="S8" s="29"/>
      <c r="T8" s="30"/>
      <c r="U8" s="27"/>
      <c r="V8" s="25"/>
      <c r="W8" s="25"/>
      <c r="X8" s="25"/>
      <c r="Y8" s="27"/>
      <c r="Z8" s="25"/>
      <c r="AA8" s="25"/>
      <c r="AB8" s="27"/>
      <c r="AC8" s="27"/>
      <c r="AD8" s="27"/>
      <c r="AE8" s="27"/>
    </row>
    <row r="9" spans="1:31" ht="15" customHeight="1">
      <c r="B9" s="12"/>
      <c r="C9" s="25"/>
      <c r="D9" s="25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  <c r="Q9" s="27"/>
      <c r="R9" s="27"/>
      <c r="S9" s="29"/>
      <c r="T9" s="30"/>
      <c r="U9" s="27"/>
      <c r="V9" s="25"/>
      <c r="W9" s="25"/>
      <c r="X9" s="25"/>
      <c r="Y9" s="27"/>
      <c r="Z9" s="25"/>
      <c r="AA9" s="25"/>
      <c r="AB9" s="27"/>
      <c r="AC9" s="27"/>
      <c r="AD9" s="27"/>
      <c r="AE9" s="27"/>
    </row>
    <row r="10" spans="1:31" ht="15" customHeight="1">
      <c r="A10" s="18"/>
      <c r="B10" s="12"/>
      <c r="C10" s="59" t="s">
        <v>66</v>
      </c>
      <c r="D10" s="25"/>
      <c r="E10" s="31" t="s">
        <v>134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8"/>
      <c r="Q10" s="27"/>
      <c r="R10" s="27"/>
      <c r="S10" s="29"/>
      <c r="T10" s="30"/>
      <c r="U10" s="27"/>
      <c r="V10" s="25"/>
      <c r="W10" s="25"/>
      <c r="X10" s="25"/>
      <c r="Y10" s="27"/>
      <c r="Z10" s="25"/>
      <c r="AA10" s="25"/>
      <c r="AB10" s="27"/>
      <c r="AC10" s="27"/>
      <c r="AD10" s="27"/>
      <c r="AE10" s="27"/>
    </row>
    <row r="11" spans="1:31" ht="15" customHeight="1">
      <c r="A11" s="18" t="s">
        <v>135</v>
      </c>
      <c r="B11" s="12"/>
      <c r="C11" s="25"/>
      <c r="D11" s="25"/>
      <c r="E11" s="27" t="s">
        <v>21</v>
      </c>
      <c r="F11" s="27"/>
      <c r="G11" s="27"/>
      <c r="H11" s="27"/>
      <c r="I11" s="27"/>
      <c r="J11" s="27"/>
      <c r="K11" s="27"/>
      <c r="L11" s="27"/>
      <c r="M11" s="27"/>
      <c r="N11" s="28" t="s">
        <v>68</v>
      </c>
      <c r="O11" s="84">
        <v>750</v>
      </c>
      <c r="P11" s="84"/>
      <c r="Q11" s="29" t="s">
        <v>15</v>
      </c>
      <c r="R11" s="27"/>
      <c r="S11" s="29"/>
      <c r="T11" s="30"/>
      <c r="U11" s="27"/>
      <c r="V11" s="25"/>
      <c r="W11" s="25"/>
      <c r="X11" s="25"/>
      <c r="Y11" s="27"/>
      <c r="Z11" s="25"/>
      <c r="AA11" s="25"/>
      <c r="AB11" s="27"/>
      <c r="AC11" s="27"/>
      <c r="AD11" s="27"/>
      <c r="AE11" s="27"/>
    </row>
    <row r="12" spans="1:31" ht="15" customHeight="1">
      <c r="B12" s="12"/>
      <c r="C12" s="25"/>
      <c r="D12" s="25"/>
      <c r="E12" s="27" t="s">
        <v>22</v>
      </c>
      <c r="F12" s="27"/>
      <c r="G12" s="27"/>
      <c r="H12" s="27"/>
      <c r="I12" s="27"/>
      <c r="J12" s="27"/>
      <c r="K12" s="27"/>
      <c r="L12" s="27"/>
      <c r="M12" s="27"/>
      <c r="N12" s="28" t="s">
        <v>121</v>
      </c>
      <c r="O12" s="84">
        <v>750</v>
      </c>
      <c r="P12" s="84"/>
      <c r="Q12" s="29" t="s">
        <v>11</v>
      </c>
      <c r="R12" s="27"/>
      <c r="S12" s="29"/>
      <c r="T12" s="30"/>
      <c r="U12" s="27"/>
      <c r="V12" s="25"/>
      <c r="W12" s="25"/>
      <c r="X12" s="25"/>
      <c r="Y12" s="27"/>
      <c r="Z12" s="25"/>
      <c r="AA12" s="25"/>
      <c r="AB12" s="27"/>
      <c r="AC12" s="27"/>
      <c r="AD12" s="27"/>
      <c r="AE12" s="27"/>
    </row>
    <row r="13" spans="1:31" ht="15" customHeight="1">
      <c r="B13" s="12"/>
      <c r="C13" s="25"/>
      <c r="D13" s="25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32"/>
      <c r="P13" s="33"/>
      <c r="Q13" s="34"/>
      <c r="R13" s="34"/>
      <c r="S13" s="29"/>
      <c r="T13" s="30"/>
      <c r="U13" s="27"/>
      <c r="V13" s="25"/>
      <c r="W13" s="25"/>
      <c r="X13" s="25"/>
      <c r="Y13" s="27"/>
      <c r="Z13" s="25"/>
      <c r="AA13" s="25"/>
      <c r="AB13" s="27"/>
      <c r="AC13" s="27"/>
      <c r="AD13" s="27"/>
      <c r="AE13" s="27"/>
    </row>
    <row r="14" spans="1:31" ht="15" customHeight="1">
      <c r="B14" s="12"/>
      <c r="C14" s="59" t="s">
        <v>104</v>
      </c>
      <c r="D14" s="25"/>
      <c r="E14" s="31" t="s">
        <v>13</v>
      </c>
      <c r="F14" s="27"/>
      <c r="G14" s="27"/>
      <c r="H14" s="27"/>
      <c r="I14" s="27"/>
      <c r="J14" s="27"/>
      <c r="K14" s="27"/>
      <c r="L14" s="27"/>
      <c r="M14" s="27"/>
      <c r="N14" s="27"/>
      <c r="O14" s="32"/>
      <c r="P14" s="33"/>
      <c r="Q14" s="34"/>
      <c r="R14" s="34"/>
      <c r="S14" s="29"/>
      <c r="T14" s="30"/>
      <c r="U14" s="27"/>
      <c r="V14" s="25"/>
      <c r="W14" s="25"/>
      <c r="X14" s="25"/>
      <c r="Y14" s="27"/>
      <c r="Z14" s="25"/>
      <c r="AA14" s="25"/>
      <c r="AB14" s="27"/>
      <c r="AC14" s="27"/>
      <c r="AD14" s="27"/>
      <c r="AE14" s="27"/>
    </row>
    <row r="15" spans="1:31" ht="15" customHeight="1">
      <c r="A15" s="18" t="s">
        <v>32</v>
      </c>
      <c r="B15" s="17"/>
      <c r="C15" s="35"/>
      <c r="D15" s="35"/>
      <c r="E15" s="27" t="s">
        <v>101</v>
      </c>
      <c r="F15" s="27"/>
      <c r="G15" s="27"/>
      <c r="H15" s="27"/>
      <c r="I15" s="27" t="s">
        <v>4</v>
      </c>
      <c r="J15" s="27"/>
      <c r="K15" s="27"/>
      <c r="L15" s="27"/>
      <c r="M15" s="27"/>
      <c r="N15" s="28" t="s">
        <v>69</v>
      </c>
      <c r="O15" s="84">
        <v>35</v>
      </c>
      <c r="P15" s="84"/>
      <c r="Q15" s="32" t="s">
        <v>70</v>
      </c>
      <c r="R15" s="32"/>
      <c r="S15" s="29"/>
      <c r="T15" s="30"/>
      <c r="U15" s="36"/>
      <c r="V15" s="25"/>
      <c r="W15" s="25"/>
      <c r="X15" s="25"/>
      <c r="Y15" s="27"/>
      <c r="Z15" s="25"/>
      <c r="AA15" s="25"/>
      <c r="AB15" s="27"/>
      <c r="AC15" s="27"/>
      <c r="AD15" s="27"/>
      <c r="AE15" s="27"/>
    </row>
    <row r="16" spans="1:31" s="22" customFormat="1" ht="15" customHeight="1">
      <c r="A16" s="18" t="s">
        <v>36</v>
      </c>
      <c r="B16" s="17"/>
      <c r="C16" s="35"/>
      <c r="D16" s="35"/>
      <c r="E16" s="27"/>
      <c r="F16" s="27"/>
      <c r="G16" s="27"/>
      <c r="H16" s="27"/>
      <c r="I16" s="27" t="s">
        <v>24</v>
      </c>
      <c r="J16" s="27"/>
      <c r="K16" s="27"/>
      <c r="L16" s="27"/>
      <c r="M16" s="27"/>
      <c r="N16" s="28" t="s">
        <v>125</v>
      </c>
      <c r="O16" s="88">
        <v>1</v>
      </c>
      <c r="P16" s="88"/>
      <c r="Q16" s="32"/>
      <c r="R16" s="32"/>
      <c r="S16" s="29"/>
      <c r="T16" s="30"/>
      <c r="U16" s="36"/>
      <c r="V16" s="25"/>
      <c r="W16" s="25"/>
      <c r="X16" s="25"/>
      <c r="Y16" s="72"/>
      <c r="Z16" s="25"/>
      <c r="AA16" s="25"/>
      <c r="AB16" s="72"/>
      <c r="AC16" s="72"/>
      <c r="AD16" s="72"/>
      <c r="AE16" s="72"/>
    </row>
    <row r="17" spans="1:32" s="20" customFormat="1" ht="15" customHeight="1">
      <c r="A17" s="18" t="s">
        <v>34</v>
      </c>
      <c r="B17" s="17"/>
      <c r="C17" s="35"/>
      <c r="D17" s="35"/>
      <c r="E17" s="27"/>
      <c r="F17" s="27"/>
      <c r="G17" s="27"/>
      <c r="H17" s="27"/>
      <c r="I17" s="27" t="s">
        <v>7</v>
      </c>
      <c r="J17" s="27"/>
      <c r="K17" s="27"/>
      <c r="L17" s="27"/>
      <c r="M17" s="27"/>
      <c r="N17" s="28" t="s">
        <v>71</v>
      </c>
      <c r="O17" s="86">
        <v>3.0000000000000001E-3</v>
      </c>
      <c r="P17" s="86"/>
      <c r="Q17" s="32"/>
      <c r="R17" s="32"/>
      <c r="S17" s="29"/>
      <c r="T17" s="30"/>
      <c r="U17" s="36"/>
      <c r="V17" s="25"/>
      <c r="W17" s="25"/>
      <c r="X17" s="25"/>
      <c r="Y17" s="27"/>
      <c r="Z17" s="25"/>
      <c r="AA17" s="25"/>
      <c r="AB17" s="27"/>
      <c r="AC17" s="27"/>
      <c r="AD17" s="27"/>
      <c r="AE17" s="27"/>
    </row>
    <row r="18" spans="1:32" ht="15" customHeight="1">
      <c r="A18" s="18" t="s">
        <v>33</v>
      </c>
      <c r="B18" s="17"/>
      <c r="C18" s="35"/>
      <c r="D18" s="35"/>
      <c r="E18" s="27"/>
      <c r="F18" s="27"/>
      <c r="G18" s="27"/>
      <c r="H18" s="27"/>
      <c r="I18" s="27" t="s">
        <v>5</v>
      </c>
      <c r="J18" s="27"/>
      <c r="K18" s="27"/>
      <c r="L18" s="27"/>
      <c r="M18" s="27"/>
      <c r="N18" s="28" t="s">
        <v>72</v>
      </c>
      <c r="O18" s="85">
        <f>4700*SQRT(O15)</f>
        <v>27805.574980568195</v>
      </c>
      <c r="P18" s="85"/>
      <c r="Q18" s="29" t="s">
        <v>70</v>
      </c>
      <c r="R18" s="29"/>
      <c r="S18" s="29"/>
      <c r="T18" s="30"/>
      <c r="U18" s="27"/>
      <c r="V18" s="25"/>
      <c r="W18" s="25"/>
      <c r="X18" s="25"/>
      <c r="Y18" s="27"/>
      <c r="Z18" s="25"/>
      <c r="AA18" s="25"/>
      <c r="AB18" s="27"/>
      <c r="AC18" s="27"/>
      <c r="AD18" s="27"/>
      <c r="AE18" s="27"/>
    </row>
    <row r="19" spans="1:32" ht="15" customHeight="1">
      <c r="A19" s="18" t="s">
        <v>35</v>
      </c>
      <c r="B19" s="17"/>
      <c r="C19" s="35"/>
      <c r="D19" s="35"/>
      <c r="E19" s="27"/>
      <c r="F19" s="27"/>
      <c r="G19" s="27"/>
      <c r="H19" s="27"/>
      <c r="I19" s="27" t="s">
        <v>124</v>
      </c>
      <c r="J19" s="27"/>
      <c r="K19" s="27"/>
      <c r="L19" s="27"/>
      <c r="M19" s="27"/>
      <c r="N19" s="28" t="s">
        <v>73</v>
      </c>
      <c r="O19" s="90">
        <f>MIN(MAX(0.85-(O15-28)*0.05/7,0.65),0.85)</f>
        <v>0.79999999999999993</v>
      </c>
      <c r="P19" s="90"/>
      <c r="Q19" s="29"/>
      <c r="R19" s="30"/>
      <c r="S19" s="29"/>
      <c r="T19" s="30"/>
      <c r="U19" s="27"/>
      <c r="V19" s="25"/>
      <c r="W19" s="25"/>
      <c r="X19" s="25"/>
      <c r="Y19" s="27"/>
      <c r="Z19" s="25"/>
      <c r="AA19" s="25"/>
      <c r="AB19" s="27"/>
      <c r="AC19" s="27"/>
      <c r="AD19" s="27"/>
      <c r="AE19" s="27"/>
    </row>
    <row r="20" spans="1:32" ht="15" customHeight="1">
      <c r="A20" s="18" t="s">
        <v>37</v>
      </c>
      <c r="B20" s="17"/>
      <c r="C20" s="35"/>
      <c r="D20" s="35"/>
      <c r="E20" s="27" t="s">
        <v>119</v>
      </c>
      <c r="F20" s="27"/>
      <c r="G20" s="27"/>
      <c r="H20" s="27"/>
      <c r="I20" s="27" t="s">
        <v>4</v>
      </c>
      <c r="J20" s="27"/>
      <c r="K20" s="27"/>
      <c r="L20" s="27"/>
      <c r="M20" s="27"/>
      <c r="N20" s="28" t="s">
        <v>74</v>
      </c>
      <c r="O20" s="84">
        <v>420</v>
      </c>
      <c r="P20" s="84"/>
      <c r="Q20" s="29" t="s">
        <v>70</v>
      </c>
      <c r="R20" s="30"/>
      <c r="S20" s="29"/>
      <c r="T20" s="30"/>
      <c r="U20" s="27"/>
      <c r="V20" s="25"/>
      <c r="W20" s="25"/>
      <c r="X20" s="25"/>
      <c r="Y20" s="27"/>
      <c r="Z20" s="25"/>
      <c r="AA20" s="25"/>
      <c r="AB20" s="27"/>
      <c r="AC20" s="27"/>
      <c r="AD20" s="27"/>
      <c r="AE20" s="27"/>
    </row>
    <row r="21" spans="1:32" ht="15" customHeight="1">
      <c r="A21" s="18"/>
      <c r="B21" s="17"/>
      <c r="C21" s="35"/>
      <c r="D21" s="35"/>
      <c r="E21" s="27"/>
      <c r="F21" s="27"/>
      <c r="G21" s="27"/>
      <c r="H21" s="27"/>
      <c r="I21" s="27" t="s">
        <v>28</v>
      </c>
      <c r="J21" s="27"/>
      <c r="K21" s="27"/>
      <c r="L21" s="27"/>
      <c r="M21" s="27"/>
      <c r="N21" s="28" t="s">
        <v>75</v>
      </c>
      <c r="O21" s="84">
        <v>420</v>
      </c>
      <c r="P21" s="84"/>
      <c r="Q21" s="29" t="s">
        <v>70</v>
      </c>
      <c r="R21" s="30"/>
      <c r="S21" s="29"/>
      <c r="T21" s="30"/>
      <c r="U21" s="36" t="str">
        <f>IF(O21&gt;420," Not  &gt; 420","")</f>
        <v/>
      </c>
      <c r="V21" s="25"/>
      <c r="W21" s="25"/>
      <c r="X21" s="25"/>
      <c r="Y21" s="27"/>
      <c r="Z21" s="25"/>
      <c r="AA21" s="25"/>
      <c r="AB21" s="27"/>
      <c r="AC21" s="27"/>
      <c r="AD21" s="27"/>
      <c r="AE21" s="27"/>
    </row>
    <row r="22" spans="1:32" ht="15" customHeight="1">
      <c r="A22" s="18" t="s">
        <v>38</v>
      </c>
      <c r="B22" s="17"/>
      <c r="C22" s="35"/>
      <c r="D22" s="35"/>
      <c r="E22" s="27"/>
      <c r="F22" s="27"/>
      <c r="G22" s="27"/>
      <c r="H22" s="27"/>
      <c r="I22" s="27" t="s">
        <v>5</v>
      </c>
      <c r="J22" s="27"/>
      <c r="K22" s="27"/>
      <c r="L22" s="27"/>
      <c r="M22" s="27"/>
      <c r="N22" s="28" t="s">
        <v>76</v>
      </c>
      <c r="O22" s="88">
        <v>200000</v>
      </c>
      <c r="P22" s="88"/>
      <c r="Q22" s="29" t="s">
        <v>70</v>
      </c>
      <c r="R22" s="30"/>
      <c r="S22" s="29"/>
      <c r="T22" s="30"/>
      <c r="U22" s="27"/>
      <c r="V22" s="25"/>
      <c r="W22" s="25"/>
      <c r="X22" s="25"/>
      <c r="Y22" s="27"/>
      <c r="Z22" s="25"/>
      <c r="AA22" s="25"/>
      <c r="AB22" s="27"/>
      <c r="AC22" s="27"/>
      <c r="AD22" s="27"/>
      <c r="AE22" s="27"/>
    </row>
    <row r="23" spans="1:32" ht="15" customHeight="1">
      <c r="A23" s="18"/>
      <c r="B23" s="17"/>
      <c r="C23" s="35"/>
      <c r="D23" s="35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8"/>
      <c r="Q23" s="25"/>
      <c r="R23" s="27"/>
      <c r="S23" s="29"/>
      <c r="T23" s="30"/>
      <c r="U23" s="27"/>
      <c r="V23" s="25"/>
      <c r="W23" s="25"/>
      <c r="X23" s="25"/>
      <c r="Y23" s="27"/>
      <c r="Z23" s="25"/>
      <c r="AA23" s="25"/>
      <c r="AB23" s="27"/>
      <c r="AC23" s="27"/>
      <c r="AD23" s="27"/>
      <c r="AE23" s="27"/>
    </row>
    <row r="24" spans="1:32" ht="15" customHeight="1">
      <c r="B24" s="12"/>
      <c r="C24" s="59" t="s">
        <v>103</v>
      </c>
      <c r="D24" s="60"/>
      <c r="E24" s="31" t="s">
        <v>14</v>
      </c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8"/>
      <c r="Q24" s="27"/>
      <c r="R24" s="27"/>
      <c r="S24" s="29"/>
      <c r="T24" s="30"/>
      <c r="U24" s="27"/>
      <c r="V24" s="25"/>
      <c r="W24" s="25"/>
      <c r="X24" s="25"/>
      <c r="Y24" s="27"/>
      <c r="Z24" s="25"/>
      <c r="AA24" s="25"/>
      <c r="AB24" s="27"/>
      <c r="AC24" s="27"/>
      <c r="AD24" s="27"/>
      <c r="AE24" s="27"/>
    </row>
    <row r="25" spans="1:32" ht="15" customHeight="1">
      <c r="B25" s="12"/>
      <c r="C25" s="25"/>
      <c r="D25" s="25"/>
      <c r="E25" s="22" t="s">
        <v>101</v>
      </c>
      <c r="F25" s="27"/>
      <c r="G25" s="27"/>
      <c r="H25" s="27"/>
      <c r="I25" s="27" t="s">
        <v>2</v>
      </c>
      <c r="L25" s="28" t="s">
        <v>77</v>
      </c>
      <c r="M25" s="89">
        <v>650</v>
      </c>
      <c r="N25" s="89"/>
      <c r="O25" s="29" t="s">
        <v>3</v>
      </c>
      <c r="Q25" s="27"/>
      <c r="R25" s="27" t="s">
        <v>0</v>
      </c>
      <c r="T25" s="28" t="s">
        <v>78</v>
      </c>
      <c r="U25" s="89">
        <v>350</v>
      </c>
      <c r="V25" s="89"/>
      <c r="W25" s="29" t="s">
        <v>3</v>
      </c>
      <c r="X25" s="25"/>
      <c r="AC25" s="27"/>
      <c r="AD25" s="27"/>
      <c r="AE25" s="27"/>
    </row>
    <row r="26" spans="1:32" ht="15" customHeight="1">
      <c r="A26" s="18" t="s">
        <v>39</v>
      </c>
      <c r="B26" s="12"/>
      <c r="C26" s="25"/>
      <c r="D26" s="25"/>
      <c r="F26" s="27"/>
      <c r="G26" s="27"/>
      <c r="H26" s="27"/>
      <c r="I26" s="27" t="s">
        <v>6</v>
      </c>
      <c r="L26" s="28" t="s">
        <v>79</v>
      </c>
      <c r="M26" s="89">
        <v>30</v>
      </c>
      <c r="N26" s="89"/>
      <c r="O26" s="29" t="s">
        <v>3</v>
      </c>
      <c r="P26" s="28"/>
      <c r="Q26" s="27"/>
      <c r="R26" s="27"/>
      <c r="S26" s="29"/>
      <c r="T26" s="30"/>
      <c r="U26" s="27"/>
      <c r="V26" s="25"/>
      <c r="W26" s="25"/>
      <c r="X26" s="25"/>
      <c r="Y26" s="27"/>
      <c r="Z26" s="25"/>
      <c r="AA26" s="25"/>
      <c r="AB26" s="27"/>
      <c r="AC26" s="27"/>
      <c r="AD26" s="27"/>
      <c r="AE26" s="27"/>
    </row>
    <row r="27" spans="1:32" ht="15" customHeight="1">
      <c r="B27" s="12"/>
      <c r="C27" s="25"/>
      <c r="D27" s="25"/>
      <c r="E27" s="27" t="s">
        <v>102</v>
      </c>
      <c r="F27" s="27"/>
      <c r="G27" s="27"/>
      <c r="H27" s="27"/>
      <c r="I27" s="27" t="s">
        <v>67</v>
      </c>
      <c r="J27" s="27"/>
      <c r="K27" s="27"/>
      <c r="L27" s="28" t="s">
        <v>80</v>
      </c>
      <c r="M27" s="89">
        <v>32</v>
      </c>
      <c r="N27" s="89"/>
      <c r="O27" s="29" t="s">
        <v>3</v>
      </c>
      <c r="P27" s="27"/>
      <c r="Q27" s="28"/>
      <c r="R27" s="27" t="s">
        <v>1</v>
      </c>
      <c r="S27" s="27"/>
      <c r="T27" s="28" t="s">
        <v>81</v>
      </c>
      <c r="U27" s="89">
        <v>5</v>
      </c>
      <c r="V27" s="89"/>
      <c r="W27" s="29" t="s">
        <v>23</v>
      </c>
      <c r="X27" s="25"/>
      <c r="Y27" s="27"/>
      <c r="Z27" s="25"/>
      <c r="AA27" s="25"/>
      <c r="AB27" s="27"/>
      <c r="AC27" s="27"/>
      <c r="AD27" s="27"/>
      <c r="AE27" s="27"/>
    </row>
    <row r="28" spans="1:32" ht="15" customHeight="1">
      <c r="B28" s="12"/>
      <c r="C28" s="25"/>
      <c r="D28" s="25"/>
      <c r="E28" s="27" t="s">
        <v>118</v>
      </c>
      <c r="F28" s="27"/>
      <c r="G28" s="27"/>
      <c r="H28" s="27"/>
      <c r="I28" s="27" t="s">
        <v>67</v>
      </c>
      <c r="J28" s="27"/>
      <c r="K28" s="27"/>
      <c r="L28" s="28" t="s">
        <v>82</v>
      </c>
      <c r="M28" s="89">
        <v>16</v>
      </c>
      <c r="N28" s="89"/>
      <c r="O28" s="29" t="s">
        <v>3</v>
      </c>
      <c r="P28" s="27"/>
      <c r="Q28" s="28"/>
      <c r="R28" s="27" t="s">
        <v>1</v>
      </c>
      <c r="S28" s="27"/>
      <c r="T28" s="28" t="s">
        <v>81</v>
      </c>
      <c r="U28" s="89">
        <v>1</v>
      </c>
      <c r="V28" s="89"/>
      <c r="W28" s="29" t="s">
        <v>23</v>
      </c>
      <c r="X28" s="25"/>
      <c r="Y28" s="27"/>
      <c r="Z28" s="25"/>
      <c r="AA28" s="25"/>
      <c r="AB28" s="27"/>
      <c r="AC28" s="27"/>
      <c r="AD28" s="27"/>
      <c r="AE28" s="27"/>
    </row>
    <row r="29" spans="1:32" ht="15" customHeight="1">
      <c r="A29" s="18" t="s">
        <v>136</v>
      </c>
      <c r="B29" s="17"/>
      <c r="C29" s="35"/>
      <c r="D29" s="35"/>
      <c r="E29" s="27"/>
      <c r="F29" s="27"/>
      <c r="G29" s="27"/>
      <c r="H29" s="27"/>
      <c r="I29" s="27" t="s">
        <v>12</v>
      </c>
      <c r="J29" s="27"/>
      <c r="K29" s="27"/>
      <c r="L29" s="28" t="s">
        <v>83</v>
      </c>
      <c r="M29" s="89">
        <v>125</v>
      </c>
      <c r="N29" s="89"/>
      <c r="O29" s="29" t="s">
        <v>3</v>
      </c>
      <c r="P29" s="28"/>
      <c r="Q29" s="27"/>
      <c r="R29" s="27"/>
      <c r="S29" s="29"/>
      <c r="T29" s="30"/>
      <c r="U29" s="27"/>
      <c r="V29" s="37"/>
      <c r="W29" s="37"/>
      <c r="X29" s="25"/>
      <c r="Y29" s="27"/>
      <c r="Z29" s="25"/>
      <c r="AA29" s="25"/>
      <c r="AB29" s="27"/>
      <c r="AC29" s="27"/>
      <c r="AD29" s="27"/>
      <c r="AE29" s="27"/>
    </row>
    <row r="30" spans="1:32" ht="15" customHeight="1">
      <c r="A30" s="18" t="s">
        <v>40</v>
      </c>
      <c r="B30" s="17"/>
      <c r="C30" s="35"/>
      <c r="D30" s="35"/>
      <c r="E30" s="27"/>
      <c r="F30" s="27"/>
      <c r="G30" s="27"/>
      <c r="H30" s="27"/>
      <c r="I30" s="27"/>
      <c r="J30" s="27"/>
      <c r="K30" s="27"/>
      <c r="L30" s="28" t="s">
        <v>84</v>
      </c>
      <c r="M30" s="92">
        <f>IF((0.33*MIN(8.3,SQRT(O15))*U25*M31/1000)&lt;Q53,MIN(600,M31/2)/2,MIN(600,M31/2))</f>
        <v>147</v>
      </c>
      <c r="N30" s="92"/>
      <c r="O30" s="29" t="s">
        <v>3</v>
      </c>
      <c r="P30" s="30"/>
      <c r="Q30" s="51" t="str">
        <f>IF(M29&gt;M30,"  Exceeded","  O.K.")</f>
        <v xml:space="preserve">  O.K.</v>
      </c>
      <c r="AB30" s="27"/>
      <c r="AC30" s="27"/>
      <c r="AD30" s="27"/>
      <c r="AE30" s="27"/>
      <c r="AF30" s="22"/>
    </row>
    <row r="31" spans="1:32" ht="15" customHeight="1">
      <c r="A31" s="18" t="s">
        <v>41</v>
      </c>
      <c r="B31" s="17"/>
      <c r="C31" s="35"/>
      <c r="D31" s="35"/>
      <c r="E31" s="27" t="s">
        <v>30</v>
      </c>
      <c r="F31" s="27"/>
      <c r="G31" s="27"/>
      <c r="H31" s="27"/>
      <c r="I31" s="27"/>
      <c r="J31" s="27"/>
      <c r="K31" s="27"/>
      <c r="L31" s="28" t="s">
        <v>85</v>
      </c>
      <c r="M31" s="93">
        <f>M25-M26-M28-M27/2</f>
        <v>588</v>
      </c>
      <c r="N31" s="93"/>
      <c r="O31" s="29" t="s">
        <v>3</v>
      </c>
      <c r="T31" s="30"/>
      <c r="U31" s="27"/>
      <c r="V31" s="25"/>
      <c r="W31" s="25"/>
      <c r="X31" s="25"/>
      <c r="Y31" s="27"/>
      <c r="Z31" s="25"/>
      <c r="AA31" s="25"/>
      <c r="AB31" s="27"/>
      <c r="AC31" s="27"/>
      <c r="AD31" s="27"/>
      <c r="AE31" s="27"/>
    </row>
    <row r="32" spans="1:32" s="22" customFormat="1" ht="15" customHeight="1">
      <c r="A32" s="18" t="s">
        <v>133</v>
      </c>
      <c r="B32" s="17"/>
      <c r="C32" s="35"/>
      <c r="D32" s="35"/>
      <c r="E32" s="38" t="s">
        <v>129</v>
      </c>
      <c r="F32" s="38"/>
      <c r="G32" s="38"/>
      <c r="H32" s="38"/>
      <c r="I32" s="38"/>
      <c r="J32" s="38"/>
      <c r="K32" s="38"/>
      <c r="L32" s="28" t="s">
        <v>131</v>
      </c>
      <c r="M32" s="87">
        <f>O11*1000000/Q47/O20/(MAX(1-M33*O20/1.7/U25/M31/O15,1-O19/2/(1+Y41/O17))*M31)</f>
        <v>3914.2422039663898</v>
      </c>
      <c r="N32" s="87"/>
      <c r="O32" s="29" t="s">
        <v>87</v>
      </c>
      <c r="P32" s="19"/>
      <c r="S32" s="21"/>
      <c r="T32" s="30"/>
      <c r="U32" s="38"/>
      <c r="V32" s="25"/>
      <c r="W32" s="25"/>
      <c r="X32" s="25"/>
      <c r="Y32" s="38"/>
      <c r="Z32" s="25"/>
      <c r="AA32" s="25"/>
      <c r="AB32" s="38"/>
      <c r="AC32" s="38"/>
      <c r="AD32" s="38"/>
      <c r="AE32" s="38"/>
    </row>
    <row r="33" spans="1:39" ht="15" customHeight="1">
      <c r="A33" s="18" t="s">
        <v>42</v>
      </c>
      <c r="B33" s="12"/>
      <c r="C33" s="25"/>
      <c r="D33" s="25"/>
      <c r="E33" s="38" t="s">
        <v>130</v>
      </c>
      <c r="F33" s="27"/>
      <c r="G33" s="27"/>
      <c r="H33" s="27"/>
      <c r="I33" s="27"/>
      <c r="J33" s="27"/>
      <c r="K33" s="27"/>
      <c r="L33" s="28" t="s">
        <v>86</v>
      </c>
      <c r="M33" s="92">
        <f>PI()*(M27/2)^2*U27</f>
        <v>4021.2385965949352</v>
      </c>
      <c r="N33" s="92"/>
      <c r="O33" s="29" t="s">
        <v>87</v>
      </c>
      <c r="T33" s="28" t="s">
        <v>88</v>
      </c>
      <c r="U33" s="92">
        <f>MAX(0.25*SQRT(O15)*U25*M31/O20,1.4*U25*M31/O20)</f>
        <v>724.71977342970297</v>
      </c>
      <c r="V33" s="92"/>
      <c r="W33" s="29" t="s">
        <v>87</v>
      </c>
      <c r="X33" s="30"/>
      <c r="Y33" s="51" t="str">
        <f>(IF(U33&gt;M33,"","  O.K."))</f>
        <v xml:space="preserve">  O.K.</v>
      </c>
      <c r="AA33" s="25"/>
      <c r="AB33" s="27"/>
      <c r="AC33" s="27"/>
      <c r="AD33" s="39"/>
      <c r="AE33" s="27"/>
    </row>
    <row r="34" spans="1:39" ht="15" customHeight="1">
      <c r="A34" s="18" t="s">
        <v>132</v>
      </c>
      <c r="B34" s="17"/>
      <c r="C34" s="35"/>
      <c r="D34" s="35"/>
      <c r="E34" s="27" t="s">
        <v>29</v>
      </c>
      <c r="F34" s="27"/>
      <c r="G34" s="27"/>
      <c r="H34" s="27"/>
      <c r="I34" s="27"/>
      <c r="J34" s="27"/>
      <c r="K34" s="27"/>
      <c r="L34" s="28" t="s">
        <v>91</v>
      </c>
      <c r="M34" s="94">
        <f>M33/U25/M31</f>
        <v>1.9539546144776168E-2</v>
      </c>
      <c r="N34" s="94"/>
      <c r="P34" s="50"/>
      <c r="Q34" s="51"/>
      <c r="R34" s="51" t="str">
        <f>IF(U33&gt;M33,IF(M33&lt;1.33*M32,"  Increase tensile reinforcement to satisfy As min","          As prov &gt; 1.33 As req. O.K."),"")</f>
        <v/>
      </c>
      <c r="S34" s="54"/>
      <c r="T34" s="53"/>
      <c r="U34" s="51"/>
      <c r="V34" s="74"/>
      <c r="W34" s="74"/>
      <c r="X34" s="74"/>
      <c r="Y34" s="51"/>
      <c r="Z34" s="74"/>
      <c r="AA34" s="74"/>
      <c r="AB34" s="27"/>
      <c r="AC34" s="27"/>
      <c r="AD34" s="50"/>
      <c r="AE34" s="27"/>
    </row>
    <row r="35" spans="1:39" ht="15" customHeight="1">
      <c r="A35" s="18" t="s">
        <v>43</v>
      </c>
      <c r="B35" s="12"/>
      <c r="C35" s="25"/>
      <c r="D35" s="25"/>
      <c r="E35" s="27" t="s">
        <v>120</v>
      </c>
      <c r="F35" s="27"/>
      <c r="G35" s="27"/>
      <c r="H35" s="27"/>
      <c r="I35" s="27"/>
      <c r="J35" s="27"/>
      <c r="L35" s="28" t="s">
        <v>89</v>
      </c>
      <c r="M35" s="92">
        <f>2*PI()*(M28/2)^2*U28</f>
        <v>402.12385965949352</v>
      </c>
      <c r="N35" s="92"/>
      <c r="O35" s="29" t="s">
        <v>87</v>
      </c>
      <c r="T35" s="28" t="s">
        <v>90</v>
      </c>
      <c r="U35" s="92">
        <f>IF(O12&gt;0.5*Q51*Q52,MAX(0.062*MIN(8.3,SQRT(O15))*U25*M29/O21,0.35*U25*M29/O21),0)</f>
        <v>38.208015265851685</v>
      </c>
      <c r="V35" s="92"/>
      <c r="W35" s="29" t="s">
        <v>87</v>
      </c>
      <c r="X35" s="30"/>
      <c r="Y35" s="71" t="str">
        <f>IF(M35&gt;U35,"  O.K.","  Not Satisfied")</f>
        <v xml:space="preserve">  O.K.</v>
      </c>
      <c r="Z35" s="25"/>
      <c r="AA35" s="25"/>
      <c r="AB35" s="27"/>
      <c r="AC35" s="27"/>
      <c r="AD35" s="39"/>
      <c r="AE35" s="27"/>
    </row>
    <row r="36" spans="1:39" ht="15" customHeight="1">
      <c r="B36" s="12"/>
      <c r="C36" s="25"/>
      <c r="D36" s="25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8"/>
      <c r="Q36" s="27"/>
      <c r="R36" s="27"/>
      <c r="S36" s="29"/>
      <c r="T36" s="30"/>
      <c r="U36" s="27"/>
      <c r="V36" s="25"/>
      <c r="W36" s="25"/>
      <c r="X36" s="25"/>
      <c r="Y36" s="27"/>
      <c r="Z36" s="25"/>
      <c r="AA36" s="25"/>
      <c r="AB36" s="27"/>
      <c r="AC36" s="27"/>
      <c r="AD36" s="39"/>
      <c r="AE36" s="27"/>
      <c r="AI36" s="6"/>
      <c r="AJ36" s="6"/>
    </row>
    <row r="37" spans="1:39" ht="15" customHeight="1">
      <c r="B37" s="12"/>
      <c r="C37" s="59" t="s">
        <v>105</v>
      </c>
      <c r="D37" s="60"/>
      <c r="E37" s="31" t="s">
        <v>20</v>
      </c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8"/>
      <c r="Q37" s="40"/>
      <c r="R37" s="27"/>
      <c r="S37" s="41"/>
      <c r="T37" s="42"/>
      <c r="U37" s="40"/>
      <c r="V37" s="25"/>
      <c r="W37" s="25"/>
      <c r="X37" s="25"/>
      <c r="Y37" s="27"/>
      <c r="Z37" s="25"/>
      <c r="AA37" s="25"/>
      <c r="AB37" s="27"/>
      <c r="AC37" s="27"/>
      <c r="AD37" s="27"/>
      <c r="AE37" s="27"/>
      <c r="AH37" s="4"/>
      <c r="AI37" s="6"/>
      <c r="AJ37" s="6"/>
      <c r="AM37" s="16"/>
    </row>
    <row r="38" spans="1:39" ht="15" customHeight="1">
      <c r="A38" s="18" t="s">
        <v>44</v>
      </c>
      <c r="B38" s="17"/>
      <c r="C38" s="35"/>
      <c r="D38" s="35"/>
      <c r="E38" s="27" t="s">
        <v>106</v>
      </c>
      <c r="F38" s="27"/>
      <c r="G38" s="27"/>
      <c r="H38" s="27"/>
      <c r="I38" s="27"/>
      <c r="J38" s="27"/>
      <c r="K38" s="27"/>
      <c r="L38" s="28" t="s">
        <v>92</v>
      </c>
      <c r="M38" s="92">
        <f>IF((MIN((O17*(M31-((M33*O20/0.85/O15/U25)/O19))/((M33*O20/0.85/O15/U25)/O19))*O22,O20))&lt;$O$20,(-M31+SQRT(M31^2-4*(0.85*O15/M34/O22/O17)*(-O19*M31^2)))/2/(0.85*O15/M34/O22/O17),(M33*O20/0.85/O15/U25))</f>
        <v>162.20122070298899</v>
      </c>
      <c r="N38" s="92"/>
      <c r="O38" s="29" t="s">
        <v>3</v>
      </c>
      <c r="R38" s="27" t="s">
        <v>123</v>
      </c>
      <c r="T38" s="30"/>
      <c r="U38" s="43"/>
      <c r="V38" s="25"/>
      <c r="W38" s="25"/>
      <c r="X38" s="25"/>
      <c r="Y38" s="27"/>
      <c r="Z38" s="25"/>
      <c r="AA38" s="25"/>
      <c r="AB38" s="27"/>
      <c r="AC38" s="27"/>
      <c r="AD38" s="27"/>
      <c r="AE38" s="27"/>
      <c r="AI38" s="76"/>
      <c r="AJ38" s="6"/>
      <c r="AM38" s="7"/>
    </row>
    <row r="39" spans="1:39" ht="15" customHeight="1">
      <c r="A39" s="18" t="s">
        <v>45</v>
      </c>
      <c r="B39" s="17"/>
      <c r="C39" s="35"/>
      <c r="D39" s="35"/>
      <c r="E39" s="27" t="s">
        <v>107</v>
      </c>
      <c r="F39" s="27"/>
      <c r="G39" s="27"/>
      <c r="H39" s="27"/>
      <c r="I39" s="27"/>
      <c r="J39" s="27"/>
      <c r="K39" s="27"/>
      <c r="L39" s="28" t="s">
        <v>8</v>
      </c>
      <c r="M39" s="92">
        <f>IF((MIN((O17*(M31-((M33*O20/0.85/O15/U25)/O19))/((M33*O20/0.85/O15/U25)/O19))*O22,O20))&lt;($O$20),((-M31+SQRT(M31^2-4*(0.85*O15/M34/O22/O17)*(-O19*M31^2)))/2/(0.85*O15/M34/O22/O17)/O19),((M33*O20/0.85/O15/U25)/O19))</f>
        <v>202.75152587873626</v>
      </c>
      <c r="N39" s="92"/>
      <c r="O39" s="29" t="s">
        <v>3</v>
      </c>
      <c r="S39" s="27" t="s">
        <v>113</v>
      </c>
      <c r="W39" s="25"/>
      <c r="X39" s="44" t="s">
        <v>96</v>
      </c>
      <c r="Y39" s="93">
        <f>O20/O22</f>
        <v>2.0999999999999999E-3</v>
      </c>
      <c r="Z39" s="93"/>
      <c r="AA39" s="25"/>
      <c r="AB39" s="27"/>
      <c r="AC39" s="27"/>
      <c r="AD39" s="27"/>
      <c r="AE39" s="27"/>
      <c r="AI39" s="76"/>
      <c r="AJ39" s="6"/>
      <c r="AM39" s="7"/>
    </row>
    <row r="40" spans="1:39" ht="15" customHeight="1">
      <c r="A40" s="18" t="s">
        <v>46</v>
      </c>
      <c r="B40" s="17"/>
      <c r="C40" s="35"/>
      <c r="D40" s="35"/>
      <c r="E40" s="32" t="s">
        <v>108</v>
      </c>
      <c r="F40" s="27"/>
      <c r="G40" s="27"/>
      <c r="H40" s="27"/>
      <c r="I40" s="27"/>
      <c r="J40" s="27"/>
      <c r="K40" s="27"/>
      <c r="L40" s="28" t="s">
        <v>93</v>
      </c>
      <c r="M40" s="95">
        <f>IF((MIN((O17*(M31-((M33*O20/0.85/O15/U25)/O19))/((M33*O20/0.85/O15/U25)/O19))*O22,O20))&lt;($O$20),(O17*(M31-((-M31+SQRT(M31^2-4*(0.85*O15/M34/O22/O17)*(-O19*M31^2)))/2/(0.85*O15/M34/O22/O17)/O19))/((-M31+SQRT(M31^2-4*(0.85*O15/M34/O22/O17)*(-O19*M31^2)))/2/(0.85*O15/M34/O22/O17)/O19)),(O17*(M31-((M33*O20/0.85/O15/U25)/O19))/((M33*O20/0.85/O15/U25)/O19)))</f>
        <v>5.7003044359578894E-3</v>
      </c>
      <c r="N40" s="95"/>
      <c r="O40" s="29"/>
      <c r="S40" s="27" t="s">
        <v>9</v>
      </c>
      <c r="W40" s="25"/>
      <c r="X40" s="44" t="s">
        <v>97</v>
      </c>
      <c r="Y40" s="96">
        <v>5.0000000000000001E-3</v>
      </c>
      <c r="Z40" s="96"/>
      <c r="AA40" s="25"/>
      <c r="AB40" s="27"/>
      <c r="AC40" s="27"/>
      <c r="AD40" s="27"/>
      <c r="AE40" s="27"/>
      <c r="AI40" s="77"/>
      <c r="AJ40" s="78"/>
      <c r="AM40" s="8"/>
    </row>
    <row r="41" spans="1:39" ht="15" customHeight="1">
      <c r="A41" s="18" t="s">
        <v>47</v>
      </c>
      <c r="B41" s="17"/>
      <c r="C41" s="35"/>
      <c r="D41" s="35"/>
      <c r="E41" s="27" t="s">
        <v>109</v>
      </c>
      <c r="F41" s="27"/>
      <c r="G41" s="27"/>
      <c r="H41" s="27"/>
      <c r="I41" s="27"/>
      <c r="J41" s="27"/>
      <c r="K41" s="27"/>
      <c r="L41" s="28" t="s">
        <v>94</v>
      </c>
      <c r="M41" s="92">
        <f>IF((MIN((O17*(M31-((M33*O20/0.85/O15/U25)/O19))/((M33*O20/0.85/O15/U25)/O19))*O22,O20))&lt;($O$20),(MIN((O17*(M31-((-M31+SQRT(M31^2-4*(0.85*O15/M34/O22/O17)*(-O19*M31^2)))/2/(0.85*O15/M34/O22/O17)/O19))/((-M31+SQRT(M31^2-4*(0.85*O15/M34/O22/O17)*(-O19*M31^2)))/2/(0.85*O15/M34/O22/O17)/O19))*O22,O20)),(MIN((O17*(M31-((M33*O20/0.85/O15/U25)/O19))/((M33*O20/0.85/O15/U25)/O19))*O22,O20)))</f>
        <v>420</v>
      </c>
      <c r="N41" s="92"/>
      <c r="O41" s="29" t="s">
        <v>70</v>
      </c>
      <c r="S41" s="27" t="s">
        <v>17</v>
      </c>
      <c r="W41" s="25"/>
      <c r="X41" s="44" t="s">
        <v>98</v>
      </c>
      <c r="Y41" s="96">
        <v>4.0000000000000001E-3</v>
      </c>
      <c r="Z41" s="96"/>
      <c r="AA41" s="53" t="str">
        <f>IF(M40&lt;Y41,"  *","  O.K.")</f>
        <v xml:space="preserve">  O.K.</v>
      </c>
      <c r="AB41" s="27"/>
      <c r="AC41" s="27"/>
      <c r="AD41" s="27"/>
      <c r="AE41" s="27"/>
      <c r="AI41" s="79"/>
      <c r="AJ41" s="6"/>
      <c r="AM41" s="7"/>
    </row>
    <row r="42" spans="1:39" ht="15" customHeight="1">
      <c r="B42" s="12"/>
      <c r="C42" s="25"/>
      <c r="D42" s="25"/>
      <c r="E42" s="27" t="s">
        <v>110</v>
      </c>
      <c r="F42" s="27"/>
      <c r="G42" s="27"/>
      <c r="H42" s="27"/>
      <c r="I42" s="27"/>
      <c r="J42" s="27"/>
      <c r="K42" s="27"/>
      <c r="L42" s="28" t="s">
        <v>126</v>
      </c>
      <c r="M42" s="92">
        <f>IF((MIN((O17*(M31-((M33*O20/0.85/O15/U25)/O19))/((M33*O20/0.85/O15/U25)/O19))*O22,O20))&lt;($O$20),(0.85*O15*U25*((-M31+SQRT(M31^2-4*(0.85*O15/M34/O22/O17)*(-O19*M31^2)))/2/(0.85*O15/M34/O22/O17))/1000),(0.85*O15*U25*(M33*O20/0.85/O15/U25)/1000))</f>
        <v>1688.9202105698728</v>
      </c>
      <c r="N42" s="92"/>
      <c r="O42" s="29" t="s">
        <v>11</v>
      </c>
      <c r="T42" s="30"/>
      <c r="V42" s="25"/>
      <c r="X42" s="52" t="str">
        <f>IF(M40&lt;Y41,"  * Reduce tension steel","")</f>
        <v/>
      </c>
      <c r="Y42" s="27"/>
      <c r="Z42" s="25"/>
      <c r="AA42" s="25"/>
      <c r="AB42" s="27"/>
      <c r="AC42" s="27"/>
      <c r="AD42" s="27"/>
      <c r="AE42" s="27"/>
      <c r="AI42" s="2"/>
      <c r="AJ42" s="5"/>
      <c r="AK42" s="2"/>
      <c r="AM42" s="7"/>
    </row>
    <row r="43" spans="1:39" ht="15" customHeight="1">
      <c r="B43" s="12"/>
      <c r="C43" s="25"/>
      <c r="D43" s="25"/>
      <c r="E43" s="27" t="s">
        <v>111</v>
      </c>
      <c r="F43" s="27"/>
      <c r="G43" s="27"/>
      <c r="H43" s="27"/>
      <c r="I43" s="27"/>
      <c r="J43" s="27"/>
      <c r="K43" s="27"/>
      <c r="L43" s="28" t="s">
        <v>127</v>
      </c>
      <c r="M43" s="92">
        <f>IF((MIN((O17*(M31-((M33*O20/0.85/O15/U25)/O19))/((M33*O20/0.85/O15/U25)/O19))*O22,O20))&lt;($O$20),((MIN((O17*(M31-((-M31+SQRT(M31^2-4*(0.85*O15/M34/O22/O17)*(-O19*M31^2)))/2/(0.85*O15/M34/O22/O17)/O19))/((-M31+SQRT(M31^2-4*(0.85*O15/M34/O22/O17)*(-O19*M31^2)))/2/(0.85*O15/M34/O22/O17)/O19))*O22,O20))*M33/1000),(M33*O20/1000))</f>
        <v>1688.9202105698728</v>
      </c>
      <c r="N43" s="92"/>
      <c r="O43" s="29" t="s">
        <v>11</v>
      </c>
      <c r="T43" s="30"/>
      <c r="U43" s="43"/>
      <c r="V43" s="25"/>
      <c r="W43" s="25"/>
      <c r="X43" s="25"/>
      <c r="Y43" s="27"/>
      <c r="Z43" s="25"/>
      <c r="AA43" s="25"/>
      <c r="AB43" s="27"/>
      <c r="AC43" s="27"/>
      <c r="AD43" s="27"/>
      <c r="AE43" s="27"/>
      <c r="AI43" s="2"/>
      <c r="AJ43" s="5"/>
      <c r="AK43" s="2"/>
      <c r="AM43" s="7"/>
    </row>
    <row r="44" spans="1:39" ht="15" customHeight="1">
      <c r="A44" s="18" t="s">
        <v>48</v>
      </c>
      <c r="B44" s="17"/>
      <c r="C44" s="35"/>
      <c r="D44" s="35"/>
      <c r="E44" s="27" t="s">
        <v>112</v>
      </c>
      <c r="F44" s="27"/>
      <c r="G44" s="27"/>
      <c r="H44" s="27"/>
      <c r="I44" s="27"/>
      <c r="J44" s="27"/>
      <c r="K44" s="27"/>
      <c r="L44" s="28" t="s">
        <v>95</v>
      </c>
      <c r="M44" s="92">
        <f>IF((MIN((O17*(M31-((M33*O20/0.85/O15/U25)/O19))/((M33*O20/0.85/O15/U25)/O19))*O22,O20))&lt;($O$20),((0.85*O15*U25*((-M31+SQRT(M31^2-4*(0.85*O15/M34/O22/O17)*(-O19*M31^2)))/2/(0.85*O15/M34/O22/O17))/1000)*(M31-((-M31+SQRT(M31^2-4*(0.85*O15/M34/O22/O17)*(-O19*M31^2)))/2/(0.85*O15/M34/O22/O17))/2)/1000),((0.85*O15*U25*(M33*O20/0.85/O15/U25)/1000)*(M31-(M33*O20/0.85/O15/U25)/2)/1000))</f>
        <v>856.11262390289403</v>
      </c>
      <c r="N44" s="92"/>
      <c r="O44" s="29" t="s">
        <v>15</v>
      </c>
      <c r="T44" s="30"/>
      <c r="U44" s="43"/>
      <c r="V44" s="25"/>
      <c r="W44" s="25"/>
      <c r="X44" s="25"/>
      <c r="Y44" s="27"/>
      <c r="Z44" s="25"/>
      <c r="AA44" s="25"/>
      <c r="AB44" s="27"/>
      <c r="AC44" s="27"/>
      <c r="AD44" s="27"/>
      <c r="AE44" s="27"/>
      <c r="AI44" s="1"/>
      <c r="AJ44" s="5"/>
      <c r="AM44" s="7"/>
    </row>
    <row r="45" spans="1:39" ht="15" customHeight="1">
      <c r="B45" s="12"/>
      <c r="C45" s="25"/>
      <c r="D45" s="25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8"/>
      <c r="Q45" s="27"/>
      <c r="R45" s="27"/>
      <c r="S45" s="29"/>
      <c r="T45" s="30"/>
      <c r="U45" s="43"/>
      <c r="V45" s="25"/>
      <c r="W45" s="25"/>
      <c r="X45" s="25"/>
      <c r="Y45" s="27"/>
      <c r="Z45" s="25"/>
      <c r="AA45" s="25"/>
      <c r="AB45" s="27"/>
      <c r="AC45" s="27"/>
      <c r="AD45" s="27"/>
      <c r="AE45" s="27"/>
    </row>
    <row r="46" spans="1:39" ht="15" customHeight="1">
      <c r="B46" s="12"/>
      <c r="C46" s="59" t="s">
        <v>116</v>
      </c>
      <c r="D46" s="60"/>
      <c r="E46" s="58" t="s">
        <v>18</v>
      </c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33"/>
      <c r="Q46" s="27"/>
      <c r="R46" s="27"/>
      <c r="S46" s="29"/>
      <c r="T46" s="30"/>
      <c r="U46" s="27"/>
      <c r="V46" s="25"/>
      <c r="W46" s="25"/>
      <c r="X46" s="25"/>
      <c r="Y46" s="27"/>
      <c r="Z46" s="25"/>
      <c r="AA46" s="25"/>
      <c r="AB46" s="27"/>
      <c r="AC46" s="27"/>
      <c r="AD46" s="27"/>
      <c r="AE46" s="27"/>
    </row>
    <row r="47" spans="1:39" ht="15" customHeight="1">
      <c r="A47" s="18" t="s">
        <v>49</v>
      </c>
      <c r="B47" s="17"/>
      <c r="C47" s="35"/>
      <c r="D47" s="35"/>
      <c r="E47" s="27" t="s">
        <v>16</v>
      </c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8" t="s">
        <v>128</v>
      </c>
      <c r="Q47" s="93">
        <f>0.65+MAX(MIN(0.25*(M40-Y39)/(Y40-Y39),0.25),0)</f>
        <v>0.9</v>
      </c>
      <c r="R47" s="93"/>
      <c r="T47" s="54" t="str">
        <f>IF(M40&gt;Y40,"  Tension Controlled",IF(M40&gt;Y39,"  Transition Section","  Compression Controlled"))</f>
        <v xml:space="preserve">  Tension Controlled</v>
      </c>
      <c r="U47" s="27"/>
      <c r="V47" s="25"/>
      <c r="W47" s="25"/>
      <c r="X47" s="25"/>
      <c r="Y47" s="27"/>
      <c r="Z47" s="25"/>
      <c r="AA47" s="25"/>
      <c r="AB47" s="27"/>
      <c r="AC47" s="27"/>
      <c r="AD47" s="27"/>
      <c r="AE47" s="27"/>
    </row>
    <row r="48" spans="1:39" ht="15" customHeight="1" thickBot="1">
      <c r="A48" s="18" t="s">
        <v>50</v>
      </c>
      <c r="B48" s="17"/>
      <c r="C48" s="35"/>
      <c r="D48" s="35"/>
      <c r="E48" s="32" t="s">
        <v>19</v>
      </c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51" t="str">
        <f>IF(Y48&lt;O11,"  Moment Capacity Exceeded"," O.K.")</f>
        <v xml:space="preserve"> O.K.</v>
      </c>
      <c r="T48" s="30"/>
      <c r="V48" s="25"/>
      <c r="W48" s="25"/>
      <c r="X48" s="55" t="s">
        <v>114</v>
      </c>
      <c r="Y48" s="97">
        <f>Q47*M44</f>
        <v>770.5013615126046</v>
      </c>
      <c r="Z48" s="97"/>
      <c r="AA48" s="56" t="s">
        <v>15</v>
      </c>
      <c r="AB48" s="46"/>
      <c r="AC48" s="29"/>
      <c r="AD48" s="30"/>
      <c r="AE48" s="27"/>
    </row>
    <row r="49" spans="1:38" ht="15" customHeight="1" thickTop="1">
      <c r="B49" s="12"/>
      <c r="C49" s="25"/>
      <c r="D49" s="25"/>
      <c r="E49" s="45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33"/>
      <c r="Q49" s="27"/>
      <c r="R49" s="27"/>
      <c r="S49" s="29"/>
      <c r="T49" s="30"/>
      <c r="U49" s="27"/>
      <c r="V49" s="25"/>
      <c r="W49" s="25"/>
      <c r="X49" s="25"/>
      <c r="Y49" s="27"/>
      <c r="Z49" s="25"/>
      <c r="AA49" s="25"/>
      <c r="AB49" s="27"/>
      <c r="AC49" s="27"/>
      <c r="AD49" s="27"/>
      <c r="AE49" s="27"/>
    </row>
    <row r="50" spans="1:38" ht="15" customHeight="1">
      <c r="B50" s="12"/>
      <c r="C50" s="59" t="s">
        <v>117</v>
      </c>
      <c r="D50" s="60"/>
      <c r="E50" s="58" t="s">
        <v>26</v>
      </c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8"/>
      <c r="Q50" s="27"/>
      <c r="R50" s="27"/>
      <c r="S50" s="29"/>
      <c r="T50" s="30"/>
      <c r="U50" s="27"/>
      <c r="V50" s="25"/>
      <c r="W50" s="25"/>
      <c r="X50" s="25"/>
      <c r="Y50" s="27"/>
      <c r="Z50" s="25"/>
      <c r="AA50" s="25"/>
      <c r="AB50" s="27"/>
      <c r="AC50" s="27"/>
      <c r="AD50" s="27"/>
      <c r="AE50" s="27"/>
    </row>
    <row r="51" spans="1:38" ht="15" customHeight="1">
      <c r="A51" s="18" t="s">
        <v>49</v>
      </c>
      <c r="B51" s="17"/>
      <c r="C51" s="35"/>
      <c r="D51" s="35"/>
      <c r="E51" s="27" t="s">
        <v>16</v>
      </c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8" t="s">
        <v>128</v>
      </c>
      <c r="Q51" s="89">
        <v>0.75</v>
      </c>
      <c r="R51" s="89"/>
      <c r="S51" s="29"/>
      <c r="T51" s="30"/>
      <c r="U51" s="27"/>
      <c r="V51" s="25"/>
      <c r="W51" s="25"/>
      <c r="X51" s="25"/>
      <c r="Y51" s="27"/>
      <c r="Z51" s="25"/>
      <c r="AA51" s="25"/>
      <c r="AB51" s="27"/>
      <c r="AC51" s="27"/>
      <c r="AD51" s="27"/>
      <c r="AE51" s="27"/>
    </row>
    <row r="52" spans="1:38" ht="16.5" customHeight="1">
      <c r="A52" s="98" t="s">
        <v>51</v>
      </c>
      <c r="B52" s="99"/>
      <c r="C52" s="47"/>
      <c r="D52" s="47"/>
      <c r="E52" s="27" t="s">
        <v>10</v>
      </c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8" t="s">
        <v>99</v>
      </c>
      <c r="Q52" s="92">
        <f>MIN(0.29*O16*MIN(8.3,SQRT(O15))*U25*M31/1000,(0.16*O16*MIN(8.3,SQRT(O15))+17*M34*MIN(O12*M31/MAX(O11,0.0000001)/1000,1))*U25*M31/1000)</f>
        <v>235.00097610946713</v>
      </c>
      <c r="R52" s="92"/>
      <c r="S52" s="29" t="s">
        <v>11</v>
      </c>
      <c r="T52" s="51" t="str">
        <f>IF(O12&gt;(Q51*Q52),"  Designed shear reinf. required",IF(O12&gt;0.5*(Q51*Q52),"  Min. shear reinf. required",""))</f>
        <v xml:space="preserve">  Designed shear reinf. required</v>
      </c>
      <c r="V52" s="25"/>
      <c r="W52" s="25"/>
      <c r="X52" s="25"/>
      <c r="Y52" s="27"/>
      <c r="Z52" s="25"/>
      <c r="AA52" s="25"/>
      <c r="AB52" s="27"/>
      <c r="AC52" s="27"/>
      <c r="AD52" s="27"/>
      <c r="AE52" s="27"/>
      <c r="AG52" s="22"/>
      <c r="AI52" s="22"/>
      <c r="AJ52" s="22"/>
      <c r="AL52" s="22"/>
    </row>
    <row r="53" spans="1:38" ht="15" customHeight="1">
      <c r="A53" s="18" t="s">
        <v>52</v>
      </c>
      <c r="B53" s="17"/>
      <c r="C53" s="35"/>
      <c r="D53" s="35"/>
      <c r="E53" s="27" t="s">
        <v>25</v>
      </c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8" t="s">
        <v>100</v>
      </c>
      <c r="Q53" s="92">
        <f>MIN(M35*O21*M31/M29/1000,0.66*MIN(8.3,SQRT(O15))*U25*M31/1000)</f>
        <v>794.46806705206814</v>
      </c>
      <c r="R53" s="92"/>
      <c r="S53" s="29" t="s">
        <v>11</v>
      </c>
      <c r="T53" s="51" t="str">
        <f>IF(O12&gt;(Q51*Q52),"", "  Not Required")</f>
        <v/>
      </c>
      <c r="V53" s="25"/>
      <c r="W53" s="25"/>
      <c r="X53" s="25"/>
      <c r="Y53" s="27"/>
      <c r="Z53" s="25"/>
      <c r="AA53" s="25"/>
      <c r="AB53" s="27"/>
      <c r="AC53" s="27"/>
      <c r="AD53" s="27"/>
      <c r="AE53" s="27"/>
    </row>
    <row r="54" spans="1:38" ht="15" customHeight="1" thickBot="1">
      <c r="A54" s="18" t="s">
        <v>53</v>
      </c>
      <c r="B54" s="17"/>
      <c r="C54" s="35"/>
      <c r="D54" s="35"/>
      <c r="E54" s="27" t="s">
        <v>27</v>
      </c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51" t="str">
        <f>IF(Y54&lt;O12,"  Shear Capacity Exceeded", "  O.K.")</f>
        <v xml:space="preserve">  O.K.</v>
      </c>
      <c r="T54" s="30"/>
      <c r="V54" s="25"/>
      <c r="W54" s="25"/>
      <c r="X54" s="57" t="s">
        <v>115</v>
      </c>
      <c r="Y54" s="97">
        <f>Q51*(Q52+Q53)</f>
        <v>772.10178237115133</v>
      </c>
      <c r="Z54" s="97"/>
      <c r="AA54" s="56" t="s">
        <v>11</v>
      </c>
      <c r="AB54" s="73"/>
      <c r="AC54" s="73"/>
      <c r="AD54" s="29"/>
      <c r="AE54" s="27"/>
    </row>
    <row r="55" spans="1:38" ht="15" customHeight="1" thickTop="1">
      <c r="A55" s="18"/>
      <c r="B55" s="17"/>
      <c r="C55" s="35"/>
      <c r="D55" s="35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8"/>
      <c r="Q55" s="48"/>
      <c r="R55" s="27"/>
      <c r="S55" s="29"/>
      <c r="T55" s="30"/>
      <c r="U55" s="27"/>
      <c r="V55" s="25"/>
      <c r="W55" s="25"/>
      <c r="X55" s="25"/>
      <c r="Y55" s="27"/>
      <c r="Z55" s="25"/>
      <c r="AA55" s="25"/>
      <c r="AB55" s="27"/>
      <c r="AC55" s="27"/>
      <c r="AD55" s="27"/>
      <c r="AE55" s="27"/>
    </row>
    <row r="56" spans="1:38" ht="15" customHeight="1">
      <c r="A56" s="18"/>
      <c r="B56" s="18"/>
      <c r="C56" s="35"/>
      <c r="D56" s="35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8"/>
      <c r="Q56" s="48"/>
      <c r="R56" s="27"/>
      <c r="S56" s="29"/>
      <c r="T56" s="30"/>
      <c r="U56" s="27"/>
      <c r="V56" s="25"/>
      <c r="W56" s="25"/>
      <c r="X56" s="25"/>
      <c r="Y56" s="27"/>
      <c r="Z56" s="25"/>
      <c r="AA56" s="25"/>
      <c r="AB56" s="27"/>
      <c r="AC56" s="27"/>
      <c r="AD56" s="27"/>
      <c r="AE56" s="27"/>
    </row>
    <row r="57" spans="1:38" ht="15" customHeight="1">
      <c r="C57" s="25"/>
      <c r="D57" s="25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8"/>
      <c r="Q57" s="27"/>
      <c r="R57" s="27"/>
      <c r="S57" s="29"/>
      <c r="T57" s="30"/>
      <c r="U57" s="27"/>
      <c r="V57" s="25"/>
      <c r="W57" s="25"/>
      <c r="X57" s="25"/>
      <c r="Y57" s="27"/>
      <c r="Z57" s="25"/>
      <c r="AA57" s="25"/>
      <c r="AB57" s="27"/>
      <c r="AC57" s="27"/>
      <c r="AD57" s="27"/>
      <c r="AE57" s="27"/>
    </row>
    <row r="58" spans="1:38" ht="15" customHeight="1">
      <c r="A58" s="18"/>
      <c r="B58" s="18"/>
      <c r="C58" s="35"/>
      <c r="D58" s="35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8"/>
      <c r="Q58" s="48"/>
      <c r="R58" s="27"/>
      <c r="S58" s="29"/>
      <c r="T58" s="30"/>
      <c r="U58" s="27"/>
      <c r="V58" s="25"/>
      <c r="W58" s="25"/>
      <c r="X58" s="25"/>
      <c r="Y58" s="27"/>
      <c r="Z58" s="25"/>
      <c r="AA58" s="25"/>
      <c r="AB58" s="27"/>
      <c r="AC58" s="27"/>
      <c r="AD58" s="27"/>
      <c r="AE58" s="27"/>
    </row>
    <row r="60" spans="1:38" ht="15" customHeight="1">
      <c r="A60" s="18"/>
      <c r="B60" s="18"/>
      <c r="C60" s="80"/>
      <c r="D60" s="80"/>
      <c r="E60" s="14"/>
      <c r="F60" s="14"/>
      <c r="G60" s="14"/>
      <c r="H60" s="14"/>
      <c r="I60" s="14"/>
      <c r="J60" s="14"/>
      <c r="K60" s="14"/>
      <c r="L60" s="14"/>
      <c r="Q60" s="5"/>
    </row>
    <row r="61" spans="1:38" ht="15" customHeight="1">
      <c r="C61" s="14"/>
      <c r="D61" s="14"/>
      <c r="E61" s="14"/>
      <c r="F61" s="14"/>
      <c r="G61" s="14"/>
      <c r="H61" s="14"/>
      <c r="I61" s="14"/>
      <c r="J61" s="14"/>
      <c r="K61" s="14"/>
      <c r="L61" s="14"/>
      <c r="Q61" s="5"/>
    </row>
    <row r="62" spans="1:38" ht="15" customHeight="1">
      <c r="C62" s="14"/>
      <c r="D62" s="14"/>
      <c r="E62" s="14"/>
      <c r="F62" s="14"/>
      <c r="G62" s="14"/>
      <c r="H62" s="14"/>
      <c r="I62" s="14"/>
      <c r="J62" s="14"/>
      <c r="K62" s="14"/>
      <c r="L62" s="14"/>
    </row>
    <row r="63" spans="1:38" ht="15" customHeight="1">
      <c r="C63" s="14"/>
      <c r="D63" s="14"/>
      <c r="E63" s="14"/>
      <c r="F63" s="14"/>
      <c r="G63" s="14"/>
      <c r="H63" s="14"/>
      <c r="I63" s="14"/>
      <c r="J63" s="14"/>
      <c r="K63" s="14"/>
      <c r="L63" s="14"/>
    </row>
    <row r="64" spans="1:38" ht="15" customHeight="1">
      <c r="C64" s="14"/>
      <c r="D64" s="14"/>
      <c r="E64" s="14"/>
      <c r="F64" s="14"/>
      <c r="G64" s="15"/>
      <c r="H64" s="15"/>
      <c r="I64" s="15"/>
      <c r="J64" s="14"/>
      <c r="K64" s="14"/>
      <c r="L64" s="14"/>
    </row>
    <row r="65" spans="3:12" ht="15" customHeight="1">
      <c r="C65" s="14"/>
      <c r="D65" s="14"/>
      <c r="E65" s="14"/>
      <c r="F65" s="14"/>
      <c r="G65" s="81"/>
      <c r="H65" s="15"/>
      <c r="I65" s="82"/>
      <c r="J65" s="14"/>
      <c r="K65" s="14"/>
      <c r="L65" s="14"/>
    </row>
    <row r="66" spans="3:12" ht="15" customHeight="1">
      <c r="C66" s="14"/>
      <c r="D66" s="14"/>
      <c r="E66" s="14"/>
      <c r="F66" s="14"/>
      <c r="G66" s="15"/>
      <c r="H66" s="15"/>
      <c r="I66" s="15"/>
      <c r="J66" s="14"/>
      <c r="K66" s="14"/>
      <c r="L66" s="14"/>
    </row>
    <row r="67" spans="3:12" ht="15" customHeight="1">
      <c r="C67" s="14"/>
      <c r="D67" s="14"/>
      <c r="E67" s="14"/>
      <c r="F67" s="14"/>
      <c r="G67" s="81"/>
      <c r="H67" s="15"/>
      <c r="I67" s="82"/>
      <c r="J67" s="14"/>
      <c r="K67" s="14"/>
      <c r="L67" s="14"/>
    </row>
    <row r="68" spans="3:12" ht="15" customHeight="1">
      <c r="C68" s="14"/>
      <c r="D68" s="14"/>
      <c r="E68" s="14"/>
      <c r="F68" s="14"/>
      <c r="G68" s="81"/>
      <c r="H68" s="15"/>
      <c r="I68" s="82"/>
      <c r="J68" s="14"/>
      <c r="K68" s="14"/>
      <c r="L68" s="14"/>
    </row>
    <row r="69" spans="3:12" ht="15" customHeight="1">
      <c r="C69" s="14"/>
      <c r="D69" s="14"/>
      <c r="E69" s="14"/>
      <c r="F69" s="14"/>
      <c r="G69" s="81"/>
      <c r="H69" s="15"/>
      <c r="I69" s="82"/>
      <c r="J69" s="14"/>
      <c r="K69" s="14"/>
      <c r="L69" s="14"/>
    </row>
    <row r="70" spans="3:12" ht="15" customHeight="1">
      <c r="C70" s="14"/>
      <c r="D70" s="14"/>
      <c r="E70" s="14"/>
      <c r="F70" s="14"/>
      <c r="G70" s="81"/>
      <c r="H70" s="15"/>
      <c r="I70" s="82"/>
      <c r="J70" s="14"/>
      <c r="K70" s="14"/>
      <c r="L70" s="14"/>
    </row>
    <row r="71" spans="3:12" ht="15" customHeight="1">
      <c r="C71" s="14"/>
      <c r="D71" s="14"/>
      <c r="E71" s="14"/>
      <c r="F71" s="14"/>
      <c r="G71" s="82"/>
      <c r="H71" s="82"/>
      <c r="I71" s="82"/>
      <c r="J71" s="14"/>
      <c r="K71" s="14"/>
      <c r="L71" s="14"/>
    </row>
    <row r="72" spans="3:12" ht="15" customHeight="1">
      <c r="C72" s="14"/>
      <c r="D72" s="14"/>
      <c r="E72" s="14"/>
      <c r="F72" s="14"/>
      <c r="G72" s="14"/>
      <c r="H72" s="14"/>
      <c r="I72" s="14"/>
      <c r="J72" s="14"/>
      <c r="K72" s="14"/>
      <c r="L72" s="14"/>
    </row>
    <row r="73" spans="3:12" ht="15" customHeight="1">
      <c r="C73" s="14"/>
      <c r="D73" s="14"/>
      <c r="E73" s="14"/>
      <c r="F73" s="14"/>
      <c r="G73" s="14"/>
      <c r="H73" s="14"/>
      <c r="I73" s="14"/>
      <c r="J73" s="14"/>
      <c r="K73" s="14"/>
      <c r="L73" s="14"/>
    </row>
  </sheetData>
  <sheetProtection sheet="1" objects="1" scenarios="1"/>
  <mergeCells count="47">
    <mergeCell ref="Q53:R53"/>
    <mergeCell ref="Y54:Z54"/>
    <mergeCell ref="A52:B52"/>
    <mergeCell ref="M43:N43"/>
    <mergeCell ref="M44:N44"/>
    <mergeCell ref="Q51:R51"/>
    <mergeCell ref="Q52:R52"/>
    <mergeCell ref="Y39:Z39"/>
    <mergeCell ref="Y40:Z40"/>
    <mergeCell ref="Y41:Z41"/>
    <mergeCell ref="Q47:R47"/>
    <mergeCell ref="Y48:Z48"/>
    <mergeCell ref="U28:V28"/>
    <mergeCell ref="M42:N42"/>
    <mergeCell ref="M30:N30"/>
    <mergeCell ref="M31:N31"/>
    <mergeCell ref="M33:N33"/>
    <mergeCell ref="U33:V33"/>
    <mergeCell ref="M35:N35"/>
    <mergeCell ref="U35:V35"/>
    <mergeCell ref="M34:N34"/>
    <mergeCell ref="M38:N38"/>
    <mergeCell ref="M39:N39"/>
    <mergeCell ref="M40:N40"/>
    <mergeCell ref="M41:N41"/>
    <mergeCell ref="M29:N29"/>
    <mergeCell ref="U25:V25"/>
    <mergeCell ref="M25:N25"/>
    <mergeCell ref="M26:N26"/>
    <mergeCell ref="M27:N27"/>
    <mergeCell ref="U27:V27"/>
    <mergeCell ref="A3:C3"/>
    <mergeCell ref="A4:C4"/>
    <mergeCell ref="A5:C5"/>
    <mergeCell ref="A6:C6"/>
    <mergeCell ref="O11:P11"/>
    <mergeCell ref="O12:P12"/>
    <mergeCell ref="O15:P15"/>
    <mergeCell ref="O18:P18"/>
    <mergeCell ref="O17:P17"/>
    <mergeCell ref="M32:N32"/>
    <mergeCell ref="O16:P16"/>
    <mergeCell ref="O20:P20"/>
    <mergeCell ref="O21:P21"/>
    <mergeCell ref="O22:P22"/>
    <mergeCell ref="M28:N28"/>
    <mergeCell ref="O19:P19"/>
  </mergeCells>
  <conditionalFormatting sqref="Q30">
    <cfRule type="expression" dxfId="16" priority="49">
      <formula>M29&gt;M30</formula>
    </cfRule>
  </conditionalFormatting>
  <conditionalFormatting sqref="Y33">
    <cfRule type="expression" dxfId="15" priority="56">
      <formula>U33&gt;M33</formula>
    </cfRule>
  </conditionalFormatting>
  <conditionalFormatting sqref="AA41">
    <cfRule type="expression" dxfId="14" priority="65">
      <formula>M40&lt;Y41</formula>
    </cfRule>
  </conditionalFormatting>
  <conditionalFormatting sqref="Y48:Z48">
    <cfRule type="expression" dxfId="13" priority="11">
      <formula>Y48&lt;O11</formula>
    </cfRule>
  </conditionalFormatting>
  <conditionalFormatting sqref="Y54:AA54">
    <cfRule type="expression" dxfId="12" priority="8">
      <formula>Y54&lt;O12</formula>
    </cfRule>
  </conditionalFormatting>
  <conditionalFormatting sqref="Y35">
    <cfRule type="expression" dxfId="11" priority="6">
      <formula>M35&lt;U35</formula>
    </cfRule>
  </conditionalFormatting>
  <conditionalFormatting sqref="R34">
    <cfRule type="expression" dxfId="10" priority="5">
      <formula>M33&lt;(1.33*M32)</formula>
    </cfRule>
  </conditionalFormatting>
  <conditionalFormatting sqref="P48">
    <cfRule type="expression" dxfId="9" priority="84">
      <formula>Y48&lt;O11</formula>
    </cfRule>
  </conditionalFormatting>
  <conditionalFormatting sqref="X48:AA48">
    <cfRule type="expression" dxfId="8" priority="85">
      <formula>Y48&lt;O11</formula>
    </cfRule>
  </conditionalFormatting>
  <conditionalFormatting sqref="AA48">
    <cfRule type="expression" dxfId="7" priority="86">
      <formula>Y48&lt;O11</formula>
    </cfRule>
  </conditionalFormatting>
  <conditionalFormatting sqref="P54">
    <cfRule type="expression" dxfId="6" priority="87">
      <formula>Y54&lt;O12</formula>
    </cfRule>
  </conditionalFormatting>
  <conditionalFormatting sqref="X54:AA54">
    <cfRule type="expression" dxfId="5" priority="88">
      <formula>Y54&lt;O12</formula>
    </cfRule>
  </conditionalFormatting>
  <conditionalFormatting sqref="AA54">
    <cfRule type="expression" dxfId="4" priority="89">
      <formula>Y54&lt;O12</formula>
    </cfRule>
  </conditionalFormatting>
  <conditionalFormatting sqref="E53">
    <cfRule type="expression" dxfId="3" priority="4">
      <formula>(Q51*Q52)&gt;O12</formula>
    </cfRule>
  </conditionalFormatting>
  <conditionalFormatting sqref="P53">
    <cfRule type="expression" dxfId="2" priority="3">
      <formula>(Q51*Q52)&gt;O12</formula>
    </cfRule>
  </conditionalFormatting>
  <conditionalFormatting sqref="Q53:R53">
    <cfRule type="expression" dxfId="1" priority="2">
      <formula>(Q51*Q52)&gt;O12</formula>
    </cfRule>
  </conditionalFormatting>
  <conditionalFormatting sqref="S53">
    <cfRule type="expression" dxfId="0" priority="1">
      <formula>(Q51*Q52)&gt;O12</formula>
    </cfRule>
  </conditionalFormatting>
  <pageMargins left="0.39370078740157483" right="3.937007874015748E-2" top="0.19685039370078741" bottom="0.19685039370078741" header="3.937007874015748E-2" footer="3.937007874015748E-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Poyry Energy Ltd.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Me</cp:lastModifiedBy>
  <cp:lastPrinted>2014-08-18T14:26:51Z</cp:lastPrinted>
  <dcterms:created xsi:type="dcterms:W3CDTF">2012-12-06T12:52:46Z</dcterms:created>
  <dcterms:modified xsi:type="dcterms:W3CDTF">2014-08-21T11:58:44Z</dcterms:modified>
</cp:coreProperties>
</file>